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vaughn/ASOR Office DropBox Dropbox/Programs (Marta)/ASOR Board Matters/2022/2022-11 EC and Board Meetings/Word and Excel Versions/"/>
    </mc:Choice>
  </mc:AlternateContent>
  <xr:revisionPtr revIDLastSave="0" documentId="13_ncr:1_{680F67A6-9474-C44F-A2A0-5B0229003FC2}" xr6:coauthVersionLast="47" xr6:coauthVersionMax="47" xr10:uidLastSave="{00000000-0000-0000-0000-000000000000}"/>
  <bookViews>
    <workbookView xWindow="0" yWindow="500" windowWidth="28800" windowHeight="16360" activeTab="3" xr2:uid="{04C72E00-4DE9-E949-ADCD-DA1163978456}"/>
  </bookViews>
  <sheets>
    <sheet name="Approved Budget FY22" sheetId="1" r:id="rId1"/>
    <sheet name="P&amp;L FINAL FY22" sheetId="3" r:id="rId2"/>
    <sheet name="New Format Expanded" sheetId="8" r:id="rId3"/>
    <sheet name="Summary for Bd Nov 2022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" l="1"/>
  <c r="C52" i="5"/>
  <c r="C47" i="5"/>
  <c r="C18" i="5"/>
  <c r="C10" i="5"/>
  <c r="C15" i="5"/>
  <c r="B27" i="5"/>
  <c r="B26" i="5"/>
  <c r="B173" i="8"/>
  <c r="C176" i="8" l="1"/>
  <c r="C175" i="8"/>
  <c r="C174" i="8"/>
  <c r="B59" i="8"/>
  <c r="B44" i="8"/>
  <c r="B53" i="5"/>
  <c r="B21" i="5"/>
  <c r="B18" i="5"/>
  <c r="C53" i="5" l="1"/>
  <c r="C92" i="8" l="1"/>
  <c r="C30" i="5" s="1"/>
  <c r="B248" i="8" l="1"/>
  <c r="C74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59" i="5"/>
  <c r="B58" i="5"/>
  <c r="B57" i="5"/>
  <c r="B56" i="5"/>
  <c r="B55" i="5"/>
  <c r="B52" i="5"/>
  <c r="B51" i="5"/>
  <c r="B50" i="5"/>
  <c r="B49" i="5"/>
  <c r="B48" i="5"/>
  <c r="B47" i="5"/>
  <c r="B45" i="5"/>
  <c r="B44" i="5"/>
  <c r="B43" i="5"/>
  <c r="B41" i="5"/>
  <c r="B40" i="5"/>
  <c r="B39" i="5"/>
  <c r="B38" i="5"/>
  <c r="B36" i="5"/>
  <c r="B35" i="5"/>
  <c r="B29" i="5"/>
  <c r="B28" i="5"/>
  <c r="B24" i="5"/>
  <c r="B23" i="5"/>
  <c r="B22" i="5"/>
  <c r="B20" i="5"/>
  <c r="B19" i="5"/>
  <c r="B17" i="5"/>
  <c r="B16" i="5"/>
  <c r="B15" i="5"/>
  <c r="B14" i="5"/>
  <c r="B13" i="5"/>
  <c r="B11" i="5"/>
  <c r="B10" i="5"/>
  <c r="B9" i="5"/>
  <c r="B7" i="5"/>
  <c r="B6" i="5"/>
  <c r="B4" i="5"/>
  <c r="B3" i="5"/>
  <c r="C247" i="8"/>
  <c r="C246" i="8"/>
  <c r="C242" i="8"/>
  <c r="C73" i="5" s="1"/>
  <c r="C240" i="8"/>
  <c r="C72" i="5" s="1"/>
  <c r="C238" i="8"/>
  <c r="C71" i="5" s="1"/>
  <c r="C236" i="8"/>
  <c r="C235" i="8"/>
  <c r="C233" i="8"/>
  <c r="C69" i="5" s="1"/>
  <c r="C231" i="8"/>
  <c r="C68" i="5" s="1"/>
  <c r="C229" i="8"/>
  <c r="C67" i="5" s="1"/>
  <c r="C227" i="8"/>
  <c r="C66" i="5" s="1"/>
  <c r="C225" i="8"/>
  <c r="C65" i="5" s="1"/>
  <c r="C223" i="8"/>
  <c r="C222" i="8"/>
  <c r="C221" i="8"/>
  <c r="C219" i="8"/>
  <c r="C218" i="8"/>
  <c r="C217" i="8"/>
  <c r="C215" i="8"/>
  <c r="C62" i="5" s="1"/>
  <c r="C212" i="8"/>
  <c r="C211" i="8"/>
  <c r="C189" i="8"/>
  <c r="C188" i="8"/>
  <c r="C186" i="8"/>
  <c r="C58" i="5" s="1"/>
  <c r="C184" i="8"/>
  <c r="C57" i="5" s="1"/>
  <c r="C182" i="8"/>
  <c r="C56" i="5" s="1"/>
  <c r="C179" i="8"/>
  <c r="C55" i="5" s="1"/>
  <c r="C172" i="8"/>
  <c r="C171" i="8"/>
  <c r="C167" i="8"/>
  <c r="C166" i="8"/>
  <c r="C165" i="8"/>
  <c r="C164" i="8"/>
  <c r="C163" i="8"/>
  <c r="C162" i="8"/>
  <c r="C161" i="8"/>
  <c r="C159" i="8"/>
  <c r="C50" i="5" s="1"/>
  <c r="C157" i="8"/>
  <c r="C170" i="8"/>
  <c r="C156" i="8"/>
  <c r="C155" i="8"/>
  <c r="C169" i="8"/>
  <c r="C153" i="8"/>
  <c r="C152" i="8"/>
  <c r="C151" i="8"/>
  <c r="C150" i="8"/>
  <c r="C149" i="8"/>
  <c r="C147" i="8"/>
  <c r="C146" i="8"/>
  <c r="C145" i="8"/>
  <c r="C142" i="8"/>
  <c r="C45" i="5" s="1"/>
  <c r="C140" i="8"/>
  <c r="C139" i="8"/>
  <c r="C138" i="8"/>
  <c r="C137" i="8"/>
  <c r="C134" i="8"/>
  <c r="C133" i="8"/>
  <c r="C132" i="8"/>
  <c r="C131" i="8"/>
  <c r="C128" i="8"/>
  <c r="C41" i="5" s="1"/>
  <c r="C126" i="8"/>
  <c r="C125" i="8"/>
  <c r="C124" i="8"/>
  <c r="C122" i="8"/>
  <c r="C121" i="8"/>
  <c r="C120" i="8"/>
  <c r="C119" i="8"/>
  <c r="C118" i="8"/>
  <c r="C116" i="8"/>
  <c r="C39" i="5" s="1"/>
  <c r="C114" i="8"/>
  <c r="C113" i="8"/>
  <c r="C112" i="8"/>
  <c r="C111" i="8"/>
  <c r="C110" i="8"/>
  <c r="C109" i="8"/>
  <c r="C108" i="8"/>
  <c r="C105" i="8"/>
  <c r="C36" i="5" s="1"/>
  <c r="C103" i="8"/>
  <c r="C102" i="8"/>
  <c r="C101" i="8"/>
  <c r="C100" i="8"/>
  <c r="C99" i="8"/>
  <c r="C87" i="8"/>
  <c r="C86" i="8"/>
  <c r="C85" i="8"/>
  <c r="C84" i="8"/>
  <c r="B83" i="8"/>
  <c r="C82" i="8"/>
  <c r="C81" i="8"/>
  <c r="C80" i="8"/>
  <c r="C79" i="8"/>
  <c r="C78" i="8"/>
  <c r="C77" i="8"/>
  <c r="C76" i="8"/>
  <c r="B75" i="8"/>
  <c r="C74" i="8"/>
  <c r="C26" i="5" s="1"/>
  <c r="B73" i="8"/>
  <c r="C71" i="8"/>
  <c r="C24" i="5" s="1"/>
  <c r="B70" i="8"/>
  <c r="C69" i="8"/>
  <c r="C68" i="8"/>
  <c r="B67" i="8"/>
  <c r="C65" i="8"/>
  <c r="C64" i="8"/>
  <c r="C63" i="8"/>
  <c r="C62" i="8"/>
  <c r="B61" i="8"/>
  <c r="C60" i="8"/>
  <c r="C21" i="5" s="1"/>
  <c r="C51" i="8"/>
  <c r="C50" i="8"/>
  <c r="C49" i="8"/>
  <c r="C48" i="8"/>
  <c r="C47" i="8"/>
  <c r="C46" i="8"/>
  <c r="C45" i="8"/>
  <c r="C58" i="8"/>
  <c r="C57" i="8"/>
  <c r="C56" i="8"/>
  <c r="C55" i="8"/>
  <c r="B54" i="8"/>
  <c r="C53" i="8"/>
  <c r="C19" i="5" s="1"/>
  <c r="B52" i="8"/>
  <c r="C43" i="8"/>
  <c r="C42" i="8"/>
  <c r="C41" i="8"/>
  <c r="C40" i="8"/>
  <c r="B39" i="8"/>
  <c r="C37" i="8"/>
  <c r="C16" i="5" s="1"/>
  <c r="B36" i="8"/>
  <c r="C35" i="8"/>
  <c r="C34" i="8"/>
  <c r="C33" i="8"/>
  <c r="C32" i="8"/>
  <c r="C31" i="8"/>
  <c r="C30" i="8"/>
  <c r="B29" i="8"/>
  <c r="C28" i="8"/>
  <c r="C14" i="5" s="1"/>
  <c r="B27" i="8"/>
  <c r="C26" i="8"/>
  <c r="C13" i="5" s="1"/>
  <c r="B25" i="8"/>
  <c r="C23" i="8"/>
  <c r="C22" i="8"/>
  <c r="B21" i="8"/>
  <c r="C20" i="8"/>
  <c r="C19" i="8"/>
  <c r="B18" i="8"/>
  <c r="C17" i="8"/>
  <c r="C16" i="8"/>
  <c r="B15" i="8"/>
  <c r="C13" i="8"/>
  <c r="C7" i="5" s="1"/>
  <c r="B12" i="8"/>
  <c r="C11" i="8"/>
  <c r="C6" i="5" s="1"/>
  <c r="B10" i="8"/>
  <c r="C8" i="8"/>
  <c r="C4" i="5" s="1"/>
  <c r="B7" i="8"/>
  <c r="C6" i="8"/>
  <c r="C5" i="8"/>
  <c r="B4" i="8"/>
  <c r="C29" i="5" l="1"/>
  <c r="C59" i="5"/>
  <c r="C49" i="5"/>
  <c r="C48" i="5"/>
  <c r="C43" i="5"/>
  <c r="C9" i="5"/>
  <c r="B93" i="8"/>
  <c r="B249" i="8" s="1"/>
  <c r="C11" i="5"/>
  <c r="C23" i="5"/>
  <c r="C93" i="8"/>
  <c r="C64" i="5"/>
  <c r="B31" i="5"/>
  <c r="C70" i="5"/>
  <c r="C63" i="5"/>
  <c r="C22" i="5"/>
  <c r="C44" i="5"/>
  <c r="C40" i="5"/>
  <c r="C75" i="5"/>
  <c r="C248" i="8"/>
  <c r="C28" i="5"/>
  <c r="C38" i="5"/>
  <c r="C17" i="5"/>
  <c r="C35" i="5"/>
  <c r="C20" i="5"/>
  <c r="C51" i="5"/>
  <c r="C3" i="5"/>
  <c r="B76" i="5"/>
  <c r="C249" i="8" l="1"/>
  <c r="C76" i="5"/>
  <c r="C31" i="5"/>
  <c r="B77" i="5"/>
  <c r="C77" i="5" l="1"/>
  <c r="C78" i="5" s="1"/>
  <c r="B270" i="3" l="1"/>
  <c r="B388" i="3" l="1"/>
  <c r="B387" i="3"/>
  <c r="B384" i="3"/>
  <c r="B385" i="3" s="1"/>
  <c r="B381" i="3"/>
  <c r="B382" i="3" s="1"/>
  <c r="B378" i="3"/>
  <c r="B377" i="3"/>
  <c r="B374" i="3"/>
  <c r="B373" i="3"/>
  <c r="B372" i="3"/>
  <c r="B369" i="3"/>
  <c r="B368" i="3"/>
  <c r="B370" i="3" s="1"/>
  <c r="B365" i="3"/>
  <c r="B364" i="3"/>
  <c r="B366" i="3" s="1"/>
  <c r="B362" i="3"/>
  <c r="B361" i="3"/>
  <c r="B360" i="3"/>
  <c r="B357" i="3"/>
  <c r="B356" i="3"/>
  <c r="B358" i="3" s="1"/>
  <c r="B353" i="3"/>
  <c r="B352" i="3"/>
  <c r="B349" i="3"/>
  <c r="B348" i="3"/>
  <c r="B350" i="3" s="1"/>
  <c r="B345" i="3"/>
  <c r="B346" i="3" s="1"/>
  <c r="B344" i="3"/>
  <c r="B341" i="3"/>
  <c r="B340" i="3"/>
  <c r="B342" i="3" s="1"/>
  <c r="B337" i="3"/>
  <c r="B336" i="3"/>
  <c r="B338" i="3" s="1"/>
  <c r="B333" i="3"/>
  <c r="B332" i="3"/>
  <c r="B334" i="3" s="1"/>
  <c r="B329" i="3"/>
  <c r="B328" i="3"/>
  <c r="B330" i="3" s="1"/>
  <c r="B326" i="3"/>
  <c r="B325" i="3"/>
  <c r="B324" i="3"/>
  <c r="B321" i="3"/>
  <c r="B320" i="3"/>
  <c r="B317" i="3"/>
  <c r="B316" i="3"/>
  <c r="B318" i="3" s="1"/>
  <c r="B313" i="3"/>
  <c r="B312" i="3"/>
  <c r="B314" i="3" s="1"/>
  <c r="B309" i="3"/>
  <c r="B304" i="3"/>
  <c r="B303" i="3"/>
  <c r="B302" i="3"/>
  <c r="B299" i="3"/>
  <c r="B298" i="3"/>
  <c r="B300" i="3" s="1"/>
  <c r="B297" i="3"/>
  <c r="B294" i="3"/>
  <c r="B293" i="3"/>
  <c r="B295" i="3" s="1"/>
  <c r="B296" i="3" s="1"/>
  <c r="B290" i="3"/>
  <c r="B288" i="3"/>
  <c r="B287" i="3"/>
  <c r="B286" i="3"/>
  <c r="B285" i="3"/>
  <c r="B289" i="3" s="1"/>
  <c r="B282" i="3"/>
  <c r="B281" i="3"/>
  <c r="B280" i="3"/>
  <c r="B279" i="3"/>
  <c r="B283" i="3" s="1"/>
  <c r="B275" i="3"/>
  <c r="B274" i="3"/>
  <c r="B271" i="3"/>
  <c r="B269" i="3"/>
  <c r="B268" i="3"/>
  <c r="B267" i="3"/>
  <c r="B265" i="3"/>
  <c r="B266" i="3" s="1"/>
  <c r="B263" i="3"/>
  <c r="B262" i="3"/>
  <c r="B259" i="3"/>
  <c r="B258" i="3"/>
  <c r="B257" i="3"/>
  <c r="B256" i="3"/>
  <c r="B255" i="3"/>
  <c r="B253" i="3"/>
  <c r="B252" i="3"/>
  <c r="B254" i="3" s="1"/>
  <c r="B260" i="3" s="1"/>
  <c r="B250" i="3"/>
  <c r="B249" i="3"/>
  <c r="B247" i="3"/>
  <c r="B245" i="3"/>
  <c r="B244" i="3"/>
  <c r="B246" i="3" s="1"/>
  <c r="B241" i="3"/>
  <c r="B240" i="3"/>
  <c r="B239" i="3"/>
  <c r="B238" i="3"/>
  <c r="B237" i="3"/>
  <c r="B234" i="3"/>
  <c r="B235" i="3" s="1"/>
  <c r="B231" i="3"/>
  <c r="B230" i="3"/>
  <c r="B229" i="3"/>
  <c r="B227" i="3"/>
  <c r="B225" i="3"/>
  <c r="B224" i="3"/>
  <c r="B223" i="3"/>
  <c r="B221" i="3"/>
  <c r="B220" i="3"/>
  <c r="B218" i="3"/>
  <c r="B219" i="3" s="1"/>
  <c r="B216" i="3"/>
  <c r="B222" i="3" s="1"/>
  <c r="B215" i="3"/>
  <c r="B214" i="3"/>
  <c r="B213" i="3"/>
  <c r="B212" i="3"/>
  <c r="B210" i="3"/>
  <c r="B209" i="3"/>
  <c r="B211" i="3" s="1"/>
  <c r="B205" i="3"/>
  <c r="B204" i="3"/>
  <c r="B203" i="3"/>
  <c r="B202" i="3"/>
  <c r="B201" i="3"/>
  <c r="B200" i="3"/>
  <c r="B206" i="3" s="1"/>
  <c r="B198" i="3"/>
  <c r="B196" i="3"/>
  <c r="B197" i="3" s="1"/>
  <c r="B195" i="3"/>
  <c r="B192" i="3"/>
  <c r="B191" i="3"/>
  <c r="B190" i="3"/>
  <c r="B193" i="3" s="1"/>
  <c r="B187" i="3"/>
  <c r="B186" i="3"/>
  <c r="B185" i="3"/>
  <c r="B184" i="3"/>
  <c r="B183" i="3"/>
  <c r="B182" i="3"/>
  <c r="B181" i="3"/>
  <c r="B180" i="3"/>
  <c r="B179" i="3"/>
  <c r="B178" i="3"/>
  <c r="B177" i="3"/>
  <c r="B176" i="3"/>
  <c r="B174" i="3"/>
  <c r="B156" i="3"/>
  <c r="B155" i="3"/>
  <c r="B154" i="3"/>
  <c r="B153" i="3"/>
  <c r="B151" i="3"/>
  <c r="B149" i="3"/>
  <c r="B148" i="3"/>
  <c r="B147" i="3"/>
  <c r="B143" i="3"/>
  <c r="B142" i="3"/>
  <c r="B141" i="3"/>
  <c r="B140" i="3"/>
  <c r="B137" i="3"/>
  <c r="B136" i="3"/>
  <c r="B135" i="3"/>
  <c r="B134" i="3"/>
  <c r="B133" i="3"/>
  <c r="B132" i="3"/>
  <c r="B131" i="3"/>
  <c r="B130" i="3"/>
  <c r="B126" i="3"/>
  <c r="B125" i="3"/>
  <c r="B124" i="3"/>
  <c r="B123" i="3"/>
  <c r="B127" i="3" s="1"/>
  <c r="B101" i="3"/>
  <c r="B100" i="3"/>
  <c r="B102" i="3" s="1"/>
  <c r="B98" i="3"/>
  <c r="B97" i="3"/>
  <c r="B95" i="3"/>
  <c r="B96" i="3" s="1"/>
  <c r="B93" i="3"/>
  <c r="B92" i="3"/>
  <c r="B90" i="3"/>
  <c r="B91" i="3" s="1"/>
  <c r="B86" i="3"/>
  <c r="B85" i="3"/>
  <c r="B84" i="3"/>
  <c r="B83" i="3"/>
  <c r="B82" i="3"/>
  <c r="B81" i="3"/>
  <c r="B77" i="3"/>
  <c r="B76" i="3"/>
  <c r="B75" i="3"/>
  <c r="B74" i="3"/>
  <c r="B73" i="3"/>
  <c r="B72" i="3"/>
  <c r="B71" i="3"/>
  <c r="B69" i="3"/>
  <c r="B66" i="3"/>
  <c r="B65" i="3"/>
  <c r="B63" i="3"/>
  <c r="B64" i="3" s="1"/>
  <c r="B60" i="3"/>
  <c r="B59" i="3"/>
  <c r="B58" i="3"/>
  <c r="B57" i="3"/>
  <c r="B56" i="3"/>
  <c r="B55" i="3"/>
  <c r="B54" i="3"/>
  <c r="B53" i="3"/>
  <c r="B52" i="3"/>
  <c r="B51" i="3"/>
  <c r="B50" i="3"/>
  <c r="B47" i="3"/>
  <c r="B46" i="3"/>
  <c r="B45" i="3"/>
  <c r="B43" i="3"/>
  <c r="B41" i="3"/>
  <c r="B39" i="3"/>
  <c r="B40" i="3" s="1"/>
  <c r="B36" i="3"/>
  <c r="B35" i="3"/>
  <c r="B37" i="3" s="1"/>
  <c r="B32" i="3"/>
  <c r="B31" i="3"/>
  <c r="B33" i="3" s="1"/>
  <c r="B28" i="3"/>
  <c r="B27" i="3"/>
  <c r="B26" i="3"/>
  <c r="B25" i="3"/>
  <c r="B24" i="3"/>
  <c r="B21" i="3"/>
  <c r="B20" i="3"/>
  <c r="B19" i="3"/>
  <c r="B15" i="3"/>
  <c r="B13" i="3"/>
  <c r="B12" i="3"/>
  <c r="B11" i="3"/>
  <c r="B10" i="3"/>
  <c r="B9" i="3"/>
  <c r="B8" i="3"/>
  <c r="D96" i="1"/>
  <c r="D93" i="1"/>
  <c r="E92" i="1"/>
  <c r="D92" i="1"/>
  <c r="C92" i="1"/>
  <c r="E91" i="1"/>
  <c r="D91" i="1"/>
  <c r="C91" i="1"/>
  <c r="D90" i="1"/>
  <c r="D89" i="1"/>
  <c r="D88" i="1"/>
  <c r="D87" i="1"/>
  <c r="D86" i="1"/>
  <c r="E85" i="1"/>
  <c r="D85" i="1"/>
  <c r="D84" i="1"/>
  <c r="D83" i="1"/>
  <c r="D82" i="1"/>
  <c r="D81" i="1"/>
  <c r="C81" i="1"/>
  <c r="D80" i="1"/>
  <c r="D79" i="1"/>
  <c r="E77" i="1"/>
  <c r="D77" i="1"/>
  <c r="E76" i="1"/>
  <c r="D76" i="1"/>
  <c r="E75" i="1"/>
  <c r="D75" i="1"/>
  <c r="E74" i="1"/>
  <c r="D74" i="1"/>
  <c r="C74" i="1"/>
  <c r="E73" i="1"/>
  <c r="D73" i="1"/>
  <c r="E72" i="1"/>
  <c r="D72" i="1"/>
  <c r="D70" i="1"/>
  <c r="D69" i="1"/>
  <c r="D68" i="1"/>
  <c r="D67" i="1"/>
  <c r="E65" i="1"/>
  <c r="D65" i="1"/>
  <c r="E64" i="1"/>
  <c r="D64" i="1"/>
  <c r="D63" i="1"/>
  <c r="D62" i="1"/>
  <c r="D61" i="1"/>
  <c r="D60" i="1"/>
  <c r="C60" i="1"/>
  <c r="D59" i="1"/>
  <c r="E58" i="1"/>
  <c r="D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C94" i="1" s="1"/>
  <c r="D49" i="1"/>
  <c r="D48" i="1"/>
  <c r="D43" i="1"/>
  <c r="D42" i="1"/>
  <c r="D41" i="1"/>
  <c r="D40" i="1"/>
  <c r="D39" i="1"/>
  <c r="D38" i="1"/>
  <c r="E37" i="1"/>
  <c r="D37" i="1"/>
  <c r="D36" i="1"/>
  <c r="D35" i="1"/>
  <c r="D34" i="1"/>
  <c r="D32" i="1"/>
  <c r="E31" i="1"/>
  <c r="D31" i="1"/>
  <c r="D30" i="1"/>
  <c r="D29" i="1"/>
  <c r="D26" i="1"/>
  <c r="D25" i="1"/>
  <c r="D24" i="1"/>
  <c r="D23" i="1"/>
  <c r="D22" i="1"/>
  <c r="D20" i="1"/>
  <c r="D19" i="1"/>
  <c r="C19" i="1"/>
  <c r="C44" i="1" s="1"/>
  <c r="D18" i="1"/>
  <c r="D17" i="1"/>
  <c r="D15" i="1"/>
  <c r="D14" i="1"/>
  <c r="D13" i="1"/>
  <c r="D12" i="1"/>
  <c r="D11" i="1"/>
  <c r="D10" i="1"/>
  <c r="D9" i="1"/>
  <c r="D8" i="1"/>
  <c r="D7" i="1"/>
  <c r="D5" i="1"/>
  <c r="D4" i="1"/>
  <c r="B29" i="3" l="1"/>
  <c r="B61" i="3"/>
  <c r="E94" i="1"/>
  <c r="B67" i="3"/>
  <c r="B87" i="3"/>
  <c r="B88" i="3" s="1"/>
  <c r="B14" i="3"/>
  <c r="B157" i="3"/>
  <c r="B354" i="3"/>
  <c r="B78" i="3"/>
  <c r="B242" i="3"/>
  <c r="B276" i="3"/>
  <c r="B277" i="3" s="1"/>
  <c r="B144" i="3"/>
  <c r="B188" i="3"/>
  <c r="B22" i="3"/>
  <c r="B322" i="3"/>
  <c r="B379" i="3"/>
  <c r="D44" i="1"/>
  <c r="E44" i="1"/>
  <c r="E97" i="1" s="1"/>
  <c r="B138" i="3"/>
  <c r="B150" i="3"/>
  <c r="D94" i="1"/>
  <c r="B232" i="3"/>
  <c r="B48" i="3"/>
  <c r="B305" i="3"/>
  <c r="B389" i="3"/>
  <c r="B375" i="3"/>
  <c r="B390" i="3" s="1"/>
  <c r="B391" i="3" s="1"/>
  <c r="B42" i="3"/>
  <c r="B68" i="3" s="1"/>
  <c r="B145" i="3"/>
  <c r="B158" i="3" s="1"/>
  <c r="B306" i="3" s="1"/>
  <c r="B226" i="3"/>
  <c r="C97" i="1"/>
  <c r="C95" i="1"/>
  <c r="E95" i="1"/>
  <c r="D95" i="1" l="1"/>
  <c r="B103" i="3"/>
  <c r="B104" i="3" s="1"/>
  <c r="B307" i="3" s="1"/>
  <c r="B392" i="3" s="1"/>
  <c r="D97" i="1"/>
</calcChain>
</file>

<file path=xl/sharedStrings.xml><?xml version="1.0" encoding="utf-8"?>
<sst xmlns="http://schemas.openxmlformats.org/spreadsheetml/2006/main" count="1094" uniqueCount="639">
  <si>
    <t>Exhibit F: Budget to forecast (FY21) and FY22 Budget</t>
  </si>
  <si>
    <t>Income:</t>
  </si>
  <si>
    <t>FY21 Budget</t>
  </si>
  <si>
    <t>FY21 Forecast</t>
  </si>
  <si>
    <t>FY22 Budget</t>
  </si>
  <si>
    <t xml:space="preserve">  Annual Meeting:</t>
  </si>
  <si>
    <t xml:space="preserve">   -Registration fees and other income</t>
  </si>
  <si>
    <t xml:space="preserve">   -Other educational events</t>
  </si>
  <si>
    <t xml:space="preserve">  Archaeological and Policy Support:</t>
  </si>
  <si>
    <t xml:space="preserve">   -Dig Scholarships awarded in Fiscal Yr</t>
  </si>
  <si>
    <t xml:space="preserve">   -Dig Scholarship funds placed in endow</t>
  </si>
  <si>
    <t xml:space="preserve">   -Excavation Grants Awarded in Fiscal Yr</t>
  </si>
  <si>
    <t xml:space="preserve">   -Excavation grant funds placed in endow</t>
  </si>
  <si>
    <t xml:space="preserve">   -Fellowships for members in Fiscal Yr</t>
  </si>
  <si>
    <t xml:space="preserve">   -Fellowships for memb placed in endow</t>
  </si>
  <si>
    <t xml:space="preserve">   -Nies Trust placed in TR Account</t>
  </si>
  <si>
    <t xml:space="preserve">   -Nies Trust released from TR for desig</t>
  </si>
  <si>
    <t xml:space="preserve">   -Nies Trust released for JCS expenses</t>
  </si>
  <si>
    <t xml:space="preserve">Cultural Heritage Initiatives (CHI) </t>
  </si>
  <si>
    <t xml:space="preserve">   -Fed Grants net revenue (incl indirect)</t>
  </si>
  <si>
    <t xml:space="preserve">   -Fed Grants in-kind revenue </t>
  </si>
  <si>
    <t xml:space="preserve">   -CHI non-federal revenue placed in TR</t>
  </si>
  <si>
    <t xml:space="preserve">   -CHI (non-federal) released from TR</t>
  </si>
  <si>
    <t>Journals, Memberships and Books:</t>
  </si>
  <si>
    <t xml:space="preserve">      -Subscriptions (UCP)</t>
  </si>
  <si>
    <t xml:space="preserve">      -Memberships</t>
  </si>
  <si>
    <t xml:space="preserve">      -Royalties and advertising</t>
  </si>
  <si>
    <t xml:space="preserve">      -Funds released from TR for books</t>
  </si>
  <si>
    <t xml:space="preserve">      -Book Sales revenue</t>
  </si>
  <si>
    <t xml:space="preserve">     -Funds released from Opportunity Fund</t>
  </si>
  <si>
    <t xml:space="preserve">  Undesignated Revenue:</t>
  </si>
  <si>
    <t xml:space="preserve">     -Annual fund contributions</t>
  </si>
  <si>
    <t xml:space="preserve">     -Institutional memberships</t>
  </si>
  <si>
    <t xml:space="preserve">     -Distribution from Endowment</t>
  </si>
  <si>
    <t xml:space="preserve">     -Interest and admin income</t>
  </si>
  <si>
    <t xml:space="preserve">  Other Designated Revenue:</t>
  </si>
  <si>
    <t xml:space="preserve">   -Designated gifts Endow Operations</t>
  </si>
  <si>
    <t xml:space="preserve">   -Board Designated Bldg Fund</t>
  </si>
  <si>
    <t xml:space="preserve">    -Designated for Diversity</t>
  </si>
  <si>
    <t xml:space="preserve">   -Other designated gifts</t>
  </si>
  <si>
    <t xml:space="preserve">  -Designated for development</t>
  </si>
  <si>
    <t xml:space="preserve">   -Use of prior year unrestricted</t>
  </si>
  <si>
    <t xml:space="preserve">   -Reimburse in lieu of rent and reimb</t>
  </si>
  <si>
    <t xml:space="preserve">   -Forecast Reimbursement of PPP Loan</t>
  </si>
  <si>
    <t xml:space="preserve">   -Legal services (in-kind)</t>
  </si>
  <si>
    <t xml:space="preserve">   -Other In-kind</t>
  </si>
  <si>
    <t xml:space="preserve">  Total Income</t>
  </si>
  <si>
    <t>Expenses:</t>
  </si>
  <si>
    <t>1'</t>
  </si>
  <si>
    <t xml:space="preserve">    -Annual Meeting Expenses (all exp)</t>
  </si>
  <si>
    <t>2'</t>
  </si>
  <si>
    <t xml:space="preserve">    -Other educational events</t>
  </si>
  <si>
    <t xml:space="preserve">  Archaeological and Program Support:</t>
  </si>
  <si>
    <t>3'</t>
  </si>
  <si>
    <t>4'</t>
  </si>
  <si>
    <t>5'</t>
  </si>
  <si>
    <t>6'</t>
  </si>
  <si>
    <t>7'</t>
  </si>
  <si>
    <t>8'</t>
  </si>
  <si>
    <t>9'</t>
  </si>
  <si>
    <t xml:space="preserve">   -Nies Trust Placed in Temp Restr</t>
  </si>
  <si>
    <t xml:space="preserve">   -Nies Trust Released From TR for desig</t>
  </si>
  <si>
    <t xml:space="preserve">  -Chair support (incl. LCP)</t>
  </si>
  <si>
    <t xml:space="preserve">  -Meetings and Travel for arch.</t>
  </si>
  <si>
    <t xml:space="preserve">  -Website (moved from allocable exp.)</t>
  </si>
  <si>
    <t xml:space="preserve">  -Presidential discretionary expenses</t>
  </si>
  <si>
    <t xml:space="preserve">  -Memb &amp; student scholarships</t>
  </si>
  <si>
    <t xml:space="preserve"> -Desig gift exp to arch. and program support</t>
  </si>
  <si>
    <t xml:space="preserve"> -Diversity desig (incl placed in endow)</t>
  </si>
  <si>
    <t xml:space="preserve">  Journals and Books</t>
  </si>
  <si>
    <t xml:space="preserve">    -BASOR, NEA, JCS</t>
  </si>
  <si>
    <t xml:space="preserve">    -JSTOR, journal, membership, FOA</t>
  </si>
  <si>
    <t xml:space="preserve">   -Book production</t>
  </si>
  <si>
    <t>15'</t>
  </si>
  <si>
    <t xml:space="preserve">   -Trans from Opp Fund (reduced book exp)</t>
  </si>
  <si>
    <t>Cultural Heritage Initiatives</t>
  </si>
  <si>
    <t>10'</t>
  </si>
  <si>
    <t xml:space="preserve">  -Federal salaries and all dir exp</t>
  </si>
  <si>
    <t xml:space="preserve">  -Federal documented in-kind</t>
  </si>
  <si>
    <t>11'</t>
  </si>
  <si>
    <t xml:space="preserve">  -Non-federal CHI expenses</t>
  </si>
  <si>
    <t xml:space="preserve">  -Non-federal placed in Temp Restrict</t>
  </si>
  <si>
    <t>21'</t>
  </si>
  <si>
    <t>Designated gifts deposited bldg fund</t>
  </si>
  <si>
    <t>20'</t>
  </si>
  <si>
    <t>Desig gifts dep into Endowment</t>
  </si>
  <si>
    <t xml:space="preserve">  Allocable Expenses</t>
  </si>
  <si>
    <t xml:space="preserve">   -Salaries and benefits</t>
  </si>
  <si>
    <t xml:space="preserve">   -Building expenses</t>
  </si>
  <si>
    <t xml:space="preserve">   -Office Admin, Telephone, and Utilities</t>
  </si>
  <si>
    <t xml:space="preserve">   -Postage, Postage mach. and Copier</t>
  </si>
  <si>
    <t xml:space="preserve">   -Bank charges</t>
  </si>
  <si>
    <t xml:space="preserve">   -Insurance</t>
  </si>
  <si>
    <t xml:space="preserve">   -Audit and Accounting Services</t>
  </si>
  <si>
    <t xml:space="preserve">   -Equipment and supplies</t>
  </si>
  <si>
    <t xml:space="preserve">   -Abila database expenses</t>
  </si>
  <si>
    <t xml:space="preserve">   -Office events, Jibrin, consulting</t>
  </si>
  <si>
    <t xml:space="preserve">   -Dues, etc.</t>
  </si>
  <si>
    <t xml:space="preserve">   -Travel</t>
  </si>
  <si>
    <t>28'</t>
  </si>
  <si>
    <t xml:space="preserve">   -Legal services</t>
  </si>
  <si>
    <t xml:space="preserve">   -Development</t>
  </si>
  <si>
    <t>TOTAL Expenses</t>
  </si>
  <si>
    <t>NET TOTAL before depreciation</t>
  </si>
  <si>
    <t xml:space="preserve">   -Depreciation (including building)</t>
  </si>
  <si>
    <r>
      <t>GRAND TOTAL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(after depreciation)</t>
    </r>
  </si>
  <si>
    <t>Operating Budget</t>
  </si>
  <si>
    <t>INCOME</t>
  </si>
  <si>
    <t>Annual Meeting</t>
  </si>
  <si>
    <t>Memberships</t>
  </si>
  <si>
    <t>Publications</t>
  </si>
  <si>
    <t>Contributions</t>
  </si>
  <si>
    <t>Interest and Administrative</t>
  </si>
  <si>
    <t>Reimbursements</t>
  </si>
  <si>
    <t>Released from endowment accounts</t>
  </si>
  <si>
    <t>EXPENSES</t>
  </si>
  <si>
    <t>Programs and Services</t>
  </si>
  <si>
    <t>Operating Expenses</t>
  </si>
  <si>
    <t>FY22 Actual</t>
  </si>
  <si>
    <t>In-Kind</t>
  </si>
  <si>
    <t xml:space="preserve">   Individual</t>
  </si>
  <si>
    <t xml:space="preserve">   Institutional</t>
  </si>
  <si>
    <t xml:space="preserve">   Subscriptions (UCP)</t>
  </si>
  <si>
    <t xml:space="preserve">   Book sales</t>
  </si>
  <si>
    <t xml:space="preserve">   Royalties and advertising</t>
  </si>
  <si>
    <t>Educational events</t>
  </si>
  <si>
    <t xml:space="preserve">   Annual Fund - undesignated</t>
  </si>
  <si>
    <t xml:space="preserve">   Board Designated Building Fund</t>
  </si>
  <si>
    <t xml:space="preserve">   Diversity</t>
  </si>
  <si>
    <t xml:space="preserve">   Development</t>
  </si>
  <si>
    <t xml:space="preserve">   Donations to perm restricted endowments</t>
  </si>
  <si>
    <t xml:space="preserve">   Grants and contracts</t>
  </si>
  <si>
    <t xml:space="preserve">   Federal grants</t>
  </si>
  <si>
    <t xml:space="preserve">   Operating distribution from endowment</t>
  </si>
  <si>
    <t xml:space="preserve">   Permanently restricted</t>
  </si>
  <si>
    <t xml:space="preserve">   Temporarily restricted</t>
  </si>
  <si>
    <t xml:space="preserve">   Annual Meeting</t>
  </si>
  <si>
    <t xml:space="preserve">   Educational events</t>
  </si>
  <si>
    <t xml:space="preserve">   Cultural Heritage Initiatives</t>
  </si>
  <si>
    <t xml:space="preserve">      Federal salaries and all direct expenses</t>
  </si>
  <si>
    <t xml:space="preserve">      Federal documented in-kind</t>
  </si>
  <si>
    <t xml:space="preserve">      Non-federal CHI</t>
  </si>
  <si>
    <t xml:space="preserve">      Non-federal placed in temp restricted</t>
  </si>
  <si>
    <t xml:space="preserve">   Journals &amp; books</t>
  </si>
  <si>
    <t xml:space="preserve">      BASOR, NEA, JCS</t>
  </si>
  <si>
    <t xml:space="preserve">      JSTOR, journal, memb, and FOA expenses</t>
  </si>
  <si>
    <t xml:space="preserve">      Book production</t>
  </si>
  <si>
    <t xml:space="preserve">   Archaeological &amp; program support for FY</t>
  </si>
  <si>
    <t xml:space="preserve">      Dig scholarships</t>
  </si>
  <si>
    <t xml:space="preserve">      Excavation grants</t>
  </si>
  <si>
    <t xml:space="preserve">      Fellowships for members</t>
  </si>
  <si>
    <t xml:space="preserve">      Nies trust placed in temp restricted</t>
  </si>
  <si>
    <t xml:space="preserve">      Diversity</t>
  </si>
  <si>
    <t xml:space="preserve">      Designated gifts placed in endowment</t>
  </si>
  <si>
    <t xml:space="preserve">   Organizational support</t>
  </si>
  <si>
    <t xml:space="preserve">      Chair support</t>
  </si>
  <si>
    <t xml:space="preserve">      Meetings and travel for archaeology</t>
  </si>
  <si>
    <t xml:space="preserve">      Website</t>
  </si>
  <si>
    <t xml:space="preserve">      Presidental discretionary expenses</t>
  </si>
  <si>
    <t xml:space="preserve">      Membership and student scholarships</t>
  </si>
  <si>
    <t xml:space="preserve">   Salaries and benefits</t>
  </si>
  <si>
    <t xml:space="preserve">   Building</t>
  </si>
  <si>
    <t xml:space="preserve">   Office administriatve, phone, and utilities</t>
  </si>
  <si>
    <t xml:space="preserve">   Postage, etc.</t>
  </si>
  <si>
    <t xml:space="preserve">   Bank charges</t>
  </si>
  <si>
    <t xml:space="preserve">   Insurance</t>
  </si>
  <si>
    <t xml:space="preserve">   Audit and accounting services</t>
  </si>
  <si>
    <t xml:space="preserve">   Equipment and supplies</t>
  </si>
  <si>
    <t xml:space="preserve">   Abila database expenses</t>
  </si>
  <si>
    <t xml:space="preserve">   Office events, consulting</t>
  </si>
  <si>
    <t xml:space="preserve">   Dues</t>
  </si>
  <si>
    <t xml:space="preserve">   Legal services</t>
  </si>
  <si>
    <t xml:space="preserve">   Other in-kind</t>
  </si>
  <si>
    <t>TOTAL INCOME:</t>
  </si>
  <si>
    <t>TOTAL EXPENSES:</t>
  </si>
  <si>
    <t>GRAND TOTAL:</t>
  </si>
  <si>
    <t>American Society of Overseas Research</t>
  </si>
  <si>
    <t>Profit and Loss</t>
  </si>
  <si>
    <t>July 2021 - June 2022</t>
  </si>
  <si>
    <t>Total</t>
  </si>
  <si>
    <t>Income</t>
  </si>
  <si>
    <t xml:space="preserve">   4000 Gen Oper Rev</t>
  </si>
  <si>
    <t xml:space="preserve">      4001 Corporate Dues</t>
  </si>
  <si>
    <t xml:space="preserve">      4120 Development Income</t>
  </si>
  <si>
    <t xml:space="preserve">      4150 Miscellaneous Income</t>
  </si>
  <si>
    <t xml:space="preserve">      4160 Reimbursements for postage</t>
  </si>
  <si>
    <t xml:space="preserve">      4161 Reimbursements for building</t>
  </si>
  <si>
    <t xml:space="preserve">      4162 Other reimbursements</t>
  </si>
  <si>
    <t xml:space="preserve">   Total 4000 Gen Oper Rev</t>
  </si>
  <si>
    <t xml:space="preserve">   4002 Webinars</t>
  </si>
  <si>
    <t xml:space="preserve">   41000 Contributions</t>
  </si>
  <si>
    <t xml:space="preserve">      42000 Archaeological and Policy Support</t>
  </si>
  <si>
    <t xml:space="preserve">         42100 Dig scholarships awarded</t>
  </si>
  <si>
    <t xml:space="preserve">            42101 Heritage donations</t>
  </si>
  <si>
    <t xml:space="preserve">            42103 Member-supported donations</t>
  </si>
  <si>
    <t xml:space="preserve">            42104 Sheeler Fellowship donations</t>
  </si>
  <si>
    <t xml:space="preserve">         Total 42100 Dig scholarships awarded</t>
  </si>
  <si>
    <t xml:space="preserve">         42200 Dig scholarships placed in endowment</t>
  </si>
  <si>
    <t xml:space="preserve">            42202 Wright-Meyers Endowment donations</t>
  </si>
  <si>
    <t xml:space="preserve">            42203 Strange Midkiff Endowment donations</t>
  </si>
  <si>
    <t xml:space="preserve">            42204 Carol and Eric Meyers Endowment donations</t>
  </si>
  <si>
    <t xml:space="preserve">            44018 BIPOC Endowment donations</t>
  </si>
  <si>
    <t xml:space="preserve">            44206 Stevan B. Dana Endowment (#3) donations</t>
  </si>
  <si>
    <t xml:space="preserve">         Total 42200 Dig scholarships placed in endowment</t>
  </si>
  <si>
    <t xml:space="preserve">         42400 Excavation grants placed in endowment</t>
  </si>
  <si>
    <t xml:space="preserve">            42402 Geraty Endowment donations</t>
  </si>
  <si>
    <t xml:space="preserve">            42403 Stevan B. Dana Endowment (#2) Donations</t>
  </si>
  <si>
    <t xml:space="preserve">         Total 42400 Excavation grants placed in endowment</t>
  </si>
  <si>
    <t xml:space="preserve">         42500 Fellowships for members awarded</t>
  </si>
  <si>
    <t xml:space="preserve">            42501 Dever Award donations</t>
  </si>
  <si>
    <t xml:space="preserve">            42502 Travel to Collections donations</t>
  </si>
  <si>
    <t xml:space="preserve">         Total 42500 Fellowships for members awarded</t>
  </si>
  <si>
    <t xml:space="preserve">         42600 Fellowships for members placed in endowment</t>
  </si>
  <si>
    <t xml:space="preserve">            42601 Mason Endowment donations</t>
  </si>
  <si>
    <t xml:space="preserve">         Total 42600 Fellowships for members placed in endowment</t>
  </si>
  <si>
    <t xml:space="preserve">         42801 Shepard Urgent Action Grants program gifts</t>
  </si>
  <si>
    <t xml:space="preserve">      Total 42000 Archaeological and Policy Support</t>
  </si>
  <si>
    <t xml:space="preserve">      42700 Donations to Endowment for operations</t>
  </si>
  <si>
    <t xml:space="preserve">      43000 Unrestricted gifts</t>
  </si>
  <si>
    <t xml:space="preserve">         43001 Unrestricted (formerly Annual Fund)</t>
  </si>
  <si>
    <t xml:space="preserve">         43002 Part of Contributing Membership</t>
  </si>
  <si>
    <t xml:space="preserve">         43003 Part of Sustaining Membership</t>
  </si>
  <si>
    <t xml:space="preserve">      Total 43000 Unrestricted gifts</t>
  </si>
  <si>
    <t xml:space="preserve">      44000 Other designated gifts</t>
  </si>
  <si>
    <t xml:space="preserve">         44001 Annual Meeting donations</t>
  </si>
  <si>
    <t xml:space="preserve">         44003 Building Fund donations</t>
  </si>
  <si>
    <t xml:space="preserve">         44006 Publications donations</t>
  </si>
  <si>
    <t xml:space="preserve">         44007 Publications book subventions</t>
  </si>
  <si>
    <t xml:space="preserve">         44008 Student support donations</t>
  </si>
  <si>
    <t xml:space="preserve">         44009 Other meetings and events donations</t>
  </si>
  <si>
    <t xml:space="preserve">         44011 Levantine Ceramics Project donations</t>
  </si>
  <si>
    <t xml:space="preserve">         44012 Online Resources (and FOA) donations</t>
  </si>
  <si>
    <t xml:space="preserve">         44015 Membership fee support donations</t>
  </si>
  <si>
    <t xml:space="preserve">         44016 Diversity initiatives donations</t>
  </si>
  <si>
    <t xml:space="preserve">         44017 Other designated donations</t>
  </si>
  <si>
    <t xml:space="preserve">      Total 44000 Other designated gifts</t>
  </si>
  <si>
    <t xml:space="preserve">      45000 Cultural Heritage Initiatives</t>
  </si>
  <si>
    <t xml:space="preserve">         45001 Unrestricted CHI gifts</t>
  </si>
  <si>
    <t xml:space="preserve">      Total 45000 Cultural Heritage Initiatives</t>
  </si>
  <si>
    <t xml:space="preserve">      46400 In-kind donations</t>
  </si>
  <si>
    <t xml:space="preserve">         46401 In-kind legal</t>
  </si>
  <si>
    <t xml:space="preserve">      Total 46400 In-kind donations</t>
  </si>
  <si>
    <t xml:space="preserve">   Total 41000 Contributions</t>
  </si>
  <si>
    <t xml:space="preserve">   4152 Dumas Cards Income</t>
  </si>
  <si>
    <t xml:space="preserve">   4400 Annual Meeting Income</t>
  </si>
  <si>
    <t xml:space="preserve">      4418 Annual Meeting Registration</t>
  </si>
  <si>
    <t xml:space="preserve">      4419 Late Abstract Submission Fee</t>
  </si>
  <si>
    <t xml:space="preserve">      4422 AM Reimbursements</t>
  </si>
  <si>
    <t xml:space="preserve">      4422-7 AM Hotel Commission</t>
  </si>
  <si>
    <t xml:space="preserve">      4423 AM Legacy Dinner</t>
  </si>
  <si>
    <t xml:space="preserve">      4424 Book Exhibit Fees</t>
  </si>
  <si>
    <t xml:space="preserve">      4425 Exhibitor Advertising</t>
  </si>
  <si>
    <t xml:space="preserve">   Total 4400 Annual Meeting Income</t>
  </si>
  <si>
    <t xml:space="preserve">   50000 Grant income</t>
  </si>
  <si>
    <t xml:space="preserve">      51000 Federal grants</t>
  </si>
  <si>
    <t xml:space="preserve">         51004 LEO Grant for Libya 2019</t>
  </si>
  <si>
    <t xml:space="preserve">         51005 LEO-Libya AM Grant 2020 &amp; 2021</t>
  </si>
  <si>
    <t xml:space="preserve">         51006 Libya AFCP 2020 Grant</t>
  </si>
  <si>
    <t xml:space="preserve">         51007 DRL Grant 2021</t>
  </si>
  <si>
    <t xml:space="preserve">         51008 CPAIG Grant 2021</t>
  </si>
  <si>
    <t xml:space="preserve">         51009 Tunisia PAS Grant 2022</t>
  </si>
  <si>
    <t xml:space="preserve">      Total 51000 Federal grants</t>
  </si>
  <si>
    <t xml:space="preserve">   Total 50000 Grant income</t>
  </si>
  <si>
    <t xml:space="preserve">   53000 Trust income</t>
  </si>
  <si>
    <t xml:space="preserve">      53001 Nies income</t>
  </si>
  <si>
    <t xml:space="preserve">   Total 53000 Trust income</t>
  </si>
  <si>
    <t xml:space="preserve">   P-110 Membership</t>
  </si>
  <si>
    <t xml:space="preserve">   P-120 Subscriptions</t>
  </si>
  <si>
    <t xml:space="preserve">   P-130 Other Publications Revenue</t>
  </si>
  <si>
    <t xml:space="preserve">      P-1301 Advertising</t>
  </si>
  <si>
    <t xml:space="preserve">   Total P-130 Other Publications Revenue</t>
  </si>
  <si>
    <t xml:space="preserve">   P-140 Book Sales</t>
  </si>
  <si>
    <t xml:space="preserve">   P-150 Journal Single Copy Sales</t>
  </si>
  <si>
    <t xml:space="preserve">   P-160 Miscellaneous</t>
  </si>
  <si>
    <t xml:space="preserve">      P-151 Postage</t>
  </si>
  <si>
    <t xml:space="preserve">      P-1603 Royalties</t>
  </si>
  <si>
    <t xml:space="preserve">   Total P-160 Miscellaneous</t>
  </si>
  <si>
    <t>Total Income</t>
  </si>
  <si>
    <t>Gross Profit</t>
  </si>
  <si>
    <t>Expenses</t>
  </si>
  <si>
    <t xml:space="preserve">   6000 Mgmt Serv. Personnel</t>
  </si>
  <si>
    <t xml:space="preserve">      6020 Andy Vaughn</t>
  </si>
  <si>
    <t xml:space="preserve">      6030 Director of meetings &amp; events (deleted)</t>
  </si>
  <si>
    <t xml:space="preserve">      6031 Arlene Press</t>
  </si>
  <si>
    <t xml:space="preserve">      6044-3 Will Berkery employee</t>
  </si>
  <si>
    <t xml:space="preserve">      6045 Jared Koller</t>
  </si>
  <si>
    <t xml:space="preserve">      6063 Britta Abeln</t>
  </si>
  <si>
    <t xml:space="preserve">      6080 Alexandra Jones</t>
  </si>
  <si>
    <t xml:space="preserve">      6081 Sydney Pickens</t>
  </si>
  <si>
    <t xml:space="preserve">      6088 Kathryn Oliver</t>
  </si>
  <si>
    <t xml:space="preserve">      6094 CHI - William Raynolds</t>
  </si>
  <si>
    <t xml:space="preserve">      6097-1 Marta Ostovich</t>
  </si>
  <si>
    <t xml:space="preserve">      6097-2 Meagan Shirley</t>
  </si>
  <si>
    <t xml:space="preserve">      6099 Felice Herman</t>
  </si>
  <si>
    <t xml:space="preserve">   Total 6000 Mgmt Serv. Personnel</t>
  </si>
  <si>
    <t xml:space="preserve">   6004 Fellowships and Grants</t>
  </si>
  <si>
    <t xml:space="preserve">      6004-0 Grants to Excavation Projects</t>
  </si>
  <si>
    <t xml:space="preserve">         6004-12 Joe D. Seger Excavation Fellows</t>
  </si>
  <si>
    <t xml:space="preserve">         6004-13 Gold Excavation Grant</t>
  </si>
  <si>
    <t xml:space="preserve">         6004-17 Shepard Urgent Action Grants</t>
  </si>
  <si>
    <t xml:space="preserve">         6004-4 Harris Grant</t>
  </si>
  <si>
    <t xml:space="preserve">      Total 6004-0 Grants to Excavation Projects</t>
  </si>
  <si>
    <t xml:space="preserve">      6004-01 Excavation Fellowships</t>
  </si>
  <si>
    <t xml:space="preserve">         6004-00 Endowment Fellowships</t>
  </si>
  <si>
    <t xml:space="preserve">            6004-1 Platt Fellowship</t>
  </si>
  <si>
    <t xml:space="preserve">            6004-10 Strange Midkiff Fellowship</t>
  </si>
  <si>
    <t xml:space="preserve">            6004-16 Dana (#1) Fellowship</t>
  </si>
  <si>
    <t xml:space="preserve">            6004-18 Dana (#2) Fellowship</t>
  </si>
  <si>
    <t xml:space="preserve">            6004-21 BIPOC Scholarship</t>
  </si>
  <si>
    <t xml:space="preserve">            6004-3 Wright/Meyers</t>
  </si>
  <si>
    <t xml:space="preserve">            6004-6 PE MacAllister Fellowship</t>
  </si>
  <si>
    <t xml:space="preserve">            6004-9 Carol and Eric Meyers Fellowshi</t>
  </si>
  <si>
    <t xml:space="preserve">         Total 6004-00 Endowment Fellowships</t>
  </si>
  <si>
    <t xml:space="preserve">         6004-02 Annual Excavation Fellowships</t>
  </si>
  <si>
    <t xml:space="preserve">            6004-14 Steinmetz Fellowship</t>
  </si>
  <si>
    <t xml:space="preserve">            6004-2 Heritage Fellowship</t>
  </si>
  <si>
    <t xml:space="preserve">            6004-7 H. Sheeler Fellowship</t>
  </si>
  <si>
    <t xml:space="preserve">            6004-8 ASOR Membership Supported Fello</t>
  </si>
  <si>
    <t xml:space="preserve">         Total 6004-02 Annual Excavation Fellowships</t>
  </si>
  <si>
    <t xml:space="preserve">      Total 6004-01 Excavation Fellowships</t>
  </si>
  <si>
    <t xml:space="preserve">      6004-03 Fellowships for ASOR members</t>
  </si>
  <si>
    <t xml:space="preserve">         6004-11 Travel to Collections Fellowshi</t>
  </si>
  <si>
    <t xml:space="preserve">         6004-15 William G. Dever Fellowship</t>
  </si>
  <si>
    <t xml:space="preserve">         6004-20 Mason Fellowship</t>
  </si>
  <si>
    <t xml:space="preserve">      Total 6004-03 Fellowships for ASOR members</t>
  </si>
  <si>
    <t xml:space="preserve">      6004-19 Geraty Endowment Grant</t>
  </si>
  <si>
    <t xml:space="preserve">      6811 Annual Meeting Scholarship Expenses</t>
  </si>
  <si>
    <t xml:space="preserve">         6745 Kress Travel (deleted)</t>
  </si>
  <si>
    <t xml:space="preserve">         6814 AM Travel grant</t>
  </si>
  <si>
    <t xml:space="preserve">         6816 TFBA Scholarship</t>
  </si>
  <si>
    <t xml:space="preserve">         6818 Annual Meeting registration scholarships</t>
  </si>
  <si>
    <t xml:space="preserve">      Total 6811 Annual Meeting Scholarship Expenses</t>
  </si>
  <si>
    <t xml:space="preserve">   Total 6004 Fellowships and Grants</t>
  </si>
  <si>
    <t xml:space="preserve">   6100 Benefits</t>
  </si>
  <si>
    <t xml:space="preserve">      6101-14 Arlene Press</t>
  </si>
  <si>
    <t xml:space="preserve">      6101-15 Jared Koller</t>
  </si>
  <si>
    <t xml:space="preserve">      6101-20 Felice Herman</t>
  </si>
  <si>
    <t xml:space="preserve">      6101-21 Marta Ostovich</t>
  </si>
  <si>
    <t xml:space="preserve">      6101-27 Meagan Shirley</t>
  </si>
  <si>
    <t xml:space="preserve">      6101-29 William Berkery</t>
  </si>
  <si>
    <t xml:space="preserve">      6101-3 Britta Abeln</t>
  </si>
  <si>
    <t xml:space="preserve">      6101-4 Andy Vaughn</t>
  </si>
  <si>
    <t xml:space="preserve">      6101-50 Alexandra Jones</t>
  </si>
  <si>
    <t xml:space="preserve">      6101-51 Sydney Pickens</t>
  </si>
  <si>
    <t xml:space="preserve">      6101-52 Kathryn Oliver</t>
  </si>
  <si>
    <t xml:space="preserve">      6124 CHI - William Raynolds</t>
  </si>
  <si>
    <t xml:space="preserve">      6126 CHI - Darren Ashby (deleted)</t>
  </si>
  <si>
    <t xml:space="preserve">   Total 6100 Benefits</t>
  </si>
  <si>
    <t xml:space="preserve">   6141 Accrued vacation expense</t>
  </si>
  <si>
    <t xml:space="preserve">   6150 Payroll Expenses</t>
  </si>
  <si>
    <t xml:space="preserve">      6006 FSA admin fee</t>
  </si>
  <si>
    <t xml:space="preserve">      6101-10 ME taxes</t>
  </si>
  <si>
    <t xml:space="preserve">      6101-22 CA unemployment and emp. train.</t>
  </si>
  <si>
    <t xml:space="preserve">      6101-23 Health insurance</t>
  </si>
  <si>
    <t xml:space="preserve">      6101-24 MD Unemployment</t>
  </si>
  <si>
    <t xml:space="preserve">      6101-26 VA Unemployment</t>
  </si>
  <si>
    <t xml:space="preserve">      6101-30 NJ taxes</t>
  </si>
  <si>
    <t xml:space="preserve">      6101-31 DC Taxes</t>
  </si>
  <si>
    <t xml:space="preserve">      6101-32 TX unemployment</t>
  </si>
  <si>
    <t xml:space="preserve">      6101-33 CO unemployment</t>
  </si>
  <si>
    <t xml:space="preserve">      6101-9 MA Unempl. &amp; Training tax</t>
  </si>
  <si>
    <t xml:space="preserve">      6550 Payroll Service Expense</t>
  </si>
  <si>
    <t xml:space="preserve">   Total 6150 Payroll Expenses</t>
  </si>
  <si>
    <t xml:space="preserve">   6200 Expenses from gift accounts</t>
  </si>
  <si>
    <t xml:space="preserve">      6201 Expenses from Student Support Gifts</t>
  </si>
  <si>
    <t xml:space="preserve">      6204 Expenses from membership fee support gifts</t>
  </si>
  <si>
    <t xml:space="preserve">      6205 Expenses from diversity initiatives gifts</t>
  </si>
  <si>
    <t xml:space="preserve">   Total 6200 Expenses from gift accounts</t>
  </si>
  <si>
    <t xml:space="preserve">   6300 Equipment &amp; Supplies</t>
  </si>
  <si>
    <t xml:space="preserve">      6311 Office Supplies</t>
  </si>
  <si>
    <t xml:space="preserve">      6440 Computer Supplies</t>
  </si>
  <si>
    <t xml:space="preserve">   Total 6300 Equipment &amp; Supplies</t>
  </si>
  <si>
    <t xml:space="preserve">   6350 Depreciation Expense</t>
  </si>
  <si>
    <t xml:space="preserve">   6400 Oper and Maint Exp</t>
  </si>
  <si>
    <t xml:space="preserve">      6450 Telephone</t>
  </si>
  <si>
    <t xml:space="preserve">      6460 Postage</t>
  </si>
  <si>
    <t xml:space="preserve">      6462 Postage Machine</t>
  </si>
  <si>
    <t xml:space="preserve">      6469 Utilities</t>
  </si>
  <si>
    <t xml:space="preserve">      6555-4 In-kind legal expense</t>
  </si>
  <si>
    <t xml:space="preserve">      6900 Alexandria Office Expenses</t>
  </si>
  <si>
    <t xml:space="preserve">   Total 6400 Oper and Maint Exp</t>
  </si>
  <si>
    <t xml:space="preserve">   6500 Other Expenses - Admin Office</t>
  </si>
  <si>
    <t xml:space="preserve">      6501 Officers/Staff Travel</t>
  </si>
  <si>
    <t xml:space="preserve">         6501-6 Travel - Domestic</t>
  </si>
  <si>
    <t xml:space="preserve">         6501-7 Travel - International</t>
  </si>
  <si>
    <t xml:space="preserve">      Total 6501 Officers/Staff Travel</t>
  </si>
  <si>
    <t xml:space="preserve">      6510 Auditing/Accounting</t>
  </si>
  <si>
    <t xml:space="preserve">      6530 Corporate Registration</t>
  </si>
  <si>
    <t xml:space="preserve">      6540 Institutional Dues</t>
  </si>
  <si>
    <t xml:space="preserve">      6556 Development Expenses</t>
  </si>
  <si>
    <t xml:space="preserve">      6560 Insurance</t>
  </si>
  <si>
    <t xml:space="preserve">         6561 Personnel Insurance</t>
  </si>
  <si>
    <t xml:space="preserve">            6576 LTD and Life Insurance</t>
  </si>
  <si>
    <t xml:space="preserve">         Total 6561 Personnel Insurance</t>
  </si>
  <si>
    <t xml:space="preserve">         6579 E &amp; O Insurance (Professional Liability)</t>
  </si>
  <si>
    <t xml:space="preserve">         6583 Business Owners Policy (BOP)</t>
  </si>
  <si>
    <t xml:space="preserve">      Total 6560 Insurance</t>
  </si>
  <si>
    <t xml:space="preserve">      6572 Office expenses - staff events</t>
  </si>
  <si>
    <t xml:space="preserve">      6573 Website expenses</t>
  </si>
  <si>
    <t xml:space="preserve">      6999-2 Meetings</t>
  </si>
  <si>
    <t xml:space="preserve">   Total 6500 Other Expenses - Admin Office</t>
  </si>
  <si>
    <t xml:space="preserve">   6520 Consulting</t>
  </si>
  <si>
    <t xml:space="preserve">   6600 Program Exps (deleted)</t>
  </si>
  <si>
    <t xml:space="preserve">      6710 Misc Expenses (deleted)</t>
  </si>
  <si>
    <t xml:space="preserve">      6750 Payments to Albright (deleted)</t>
  </si>
  <si>
    <t xml:space="preserve">      6754 Payments to ACOR (deleted)</t>
  </si>
  <si>
    <t xml:space="preserve">   Total 6600 Program Exps (deleted)</t>
  </si>
  <si>
    <t xml:space="preserve">   6650 Centennial Stretegic Planning (deleted)</t>
  </si>
  <si>
    <t xml:space="preserve">      6651 Centennial Programming (deleted)</t>
  </si>
  <si>
    <t xml:space="preserve">   Total 6650 Centennial Stretegic Planning (deleted)</t>
  </si>
  <si>
    <t xml:space="preserve">   6700 Specific Projects</t>
  </si>
  <si>
    <t xml:space="preserve">      6502 Institute Support (deleted)</t>
  </si>
  <si>
    <t xml:space="preserve">      6504 EBR Expenses (deleted)</t>
  </si>
  <si>
    <t xml:space="preserve">      6730 Baghdad Committee - Nies</t>
  </si>
  <si>
    <t xml:space="preserve">      6732 EBA Expense (deleted)</t>
  </si>
  <si>
    <t xml:space="preserve">      6744 Kress Travel (deleted)</t>
  </si>
  <si>
    <t xml:space="preserve">   Total 6700 Specific Projects</t>
  </si>
  <si>
    <t xml:space="preserve">   6713 Investment Expenses</t>
  </si>
  <si>
    <t xml:space="preserve">      6713-1 BB&amp;T S&amp;S Endowment admin fees</t>
  </si>
  <si>
    <t xml:space="preserve">      6713-2 Truist Kershaw Endowment admin fees</t>
  </si>
  <si>
    <t xml:space="preserve">   Total 6713 Investment Expenses</t>
  </si>
  <si>
    <t xml:space="preserve">   6999 Miscellaneous Expenses</t>
  </si>
  <si>
    <t xml:space="preserve">   9000 Federal Grants Expenses</t>
  </si>
  <si>
    <t xml:space="preserve">      9001 Federal Grants Salaries</t>
  </si>
  <si>
    <t xml:space="preserve">      9002 Federal Grants Fringe</t>
  </si>
  <si>
    <t xml:space="preserve">      9003 Federal Grants Travel</t>
  </si>
  <si>
    <t xml:space="preserve">         9003-1 Federal Grants Local Travel</t>
  </si>
  <si>
    <t xml:space="preserve">         9003-2 Federal Grants International Travel</t>
  </si>
  <si>
    <t xml:space="preserve">      Total 9003 Federal Grants Travel</t>
  </si>
  <si>
    <t xml:space="preserve">      9004 Federal Grants Equipment</t>
  </si>
  <si>
    <t xml:space="preserve">      9005 Federal Grants Supplies</t>
  </si>
  <si>
    <t xml:space="preserve">      9006 Federal Grants Contractual</t>
  </si>
  <si>
    <t xml:space="preserve">      9007 Federal Grants Other Direct</t>
  </si>
  <si>
    <t xml:space="preserve">      9008 Federal Grants Indirect</t>
  </si>
  <si>
    <t xml:space="preserve">   Total 9000 Federal Grants Expenses</t>
  </si>
  <si>
    <t xml:space="preserve">   9100 Non-Federal Grants Expenses</t>
  </si>
  <si>
    <t xml:space="preserve">      9101 Non-Federal Grants Salaries</t>
  </si>
  <si>
    <t xml:space="preserve">      9102 Non-Federal Grants Fringe</t>
  </si>
  <si>
    <t xml:space="preserve">      9103 Non-Federal Grants Travel</t>
  </si>
  <si>
    <t xml:space="preserve">         9103-1 Non-Federal Grants U.S. Travel</t>
  </si>
  <si>
    <t xml:space="preserve">      Total 9103 Non-Federal Grants Travel</t>
  </si>
  <si>
    <t xml:space="preserve">      9105 Non-Federal Grants Supplies</t>
  </si>
  <si>
    <t xml:space="preserve">      9106 Non-Federal Grants Contractual</t>
  </si>
  <si>
    <t xml:space="preserve">      9107 Non-Federal Grants Other Direct</t>
  </si>
  <si>
    <t xml:space="preserve">   Total 9100 Non-Federal Grants Expenses</t>
  </si>
  <si>
    <t xml:space="preserve">   9996 Indirect Expenses</t>
  </si>
  <si>
    <t xml:space="preserve">   9997 Contract Expenses</t>
  </si>
  <si>
    <t xml:space="preserve">      P-2202 Contract Support</t>
  </si>
  <si>
    <t xml:space="preserve">         22021 NEA</t>
  </si>
  <si>
    <t xml:space="preserve">         22022 BASOR</t>
  </si>
  <si>
    <t xml:space="preserve">      Total P-2202 Contract Support</t>
  </si>
  <si>
    <t xml:space="preserve">   Total 9997 Contract Expenses</t>
  </si>
  <si>
    <t xml:space="preserve">   9998 Programming Expenses</t>
  </si>
  <si>
    <t xml:space="preserve">      6553 FOA</t>
  </si>
  <si>
    <t xml:space="preserve">      6860 Annual Meeting Expenses</t>
  </si>
  <si>
    <t xml:space="preserve">      6890 Annual Meeting Audio Visual</t>
  </si>
  <si>
    <t xml:space="preserve">      P-211 Membership Expenses</t>
  </si>
  <si>
    <t xml:space="preserve">   Total 9998 Programming Expenses</t>
  </si>
  <si>
    <t xml:space="preserve">   9999 Bank Charges</t>
  </si>
  <si>
    <t xml:space="preserve">      4003 Bank charges on webinars</t>
  </si>
  <si>
    <t xml:space="preserve">      41001 Bank charges on gifts</t>
  </si>
  <si>
    <t xml:space="preserve">      6860-2 Bank charges on Annual Meeting transactions</t>
  </si>
  <si>
    <t xml:space="preserve">      P-3013 Bank Charges on memberships and misc</t>
  </si>
  <si>
    <t xml:space="preserve">   Total 9999 Bank Charges</t>
  </si>
  <si>
    <t xml:space="preserve">   P-210 Journal Production</t>
  </si>
  <si>
    <t xml:space="preserve">   P-220 Editorial</t>
  </si>
  <si>
    <t xml:space="preserve">      P-2201 Editorial Stipend</t>
  </si>
  <si>
    <t xml:space="preserve">         22011 NEA</t>
  </si>
  <si>
    <t xml:space="preserve">         22012 BASOR</t>
  </si>
  <si>
    <t xml:space="preserve">      Total P-2201 Editorial Stipend</t>
  </si>
  <si>
    <t xml:space="preserve">   Total P-220 Editorial</t>
  </si>
  <si>
    <t xml:space="preserve">   P-260 Book Production</t>
  </si>
  <si>
    <t xml:space="preserve">      P-260-1 Book Production COGS</t>
  </si>
  <si>
    <t xml:space="preserve">      P-270 Distribution/Marketing</t>
  </si>
  <si>
    <t xml:space="preserve">   Total P-260 Book Production</t>
  </si>
  <si>
    <t xml:space="preserve">   P-300 G &amp; A</t>
  </si>
  <si>
    <t xml:space="preserve">      P-3010 Chair Support</t>
  </si>
  <si>
    <t xml:space="preserve">      P-3016 Abila Database</t>
  </si>
  <si>
    <t xml:space="preserve">      P-3020 Presidents Discretionary Fund</t>
  </si>
  <si>
    <t xml:space="preserve">   Total P-300 G &amp; A</t>
  </si>
  <si>
    <t>Total Expenses</t>
  </si>
  <si>
    <t>Net Operating Income</t>
  </si>
  <si>
    <t>Other Income</t>
  </si>
  <si>
    <t xml:space="preserve">   7000 PPP Loan Forgiveness</t>
  </si>
  <si>
    <t xml:space="preserve">   8400 Charles Schwab Investment Activity</t>
  </si>
  <si>
    <t xml:space="preserve">      8401 Herbert Mason Fund Investment Activity</t>
  </si>
  <si>
    <t xml:space="preserve">         8402 Mason Fund interest and dividends income</t>
  </si>
  <si>
    <t xml:space="preserve">         8403 Mason Fund change in fair value</t>
  </si>
  <si>
    <t xml:space="preserve">      Total 8401 Herbert Mason Fund Investment Activity</t>
  </si>
  <si>
    <t xml:space="preserve">      8410 Geraty Endowment Investment Activity</t>
  </si>
  <si>
    <t xml:space="preserve">         8411 Geraty change in fair value</t>
  </si>
  <si>
    <t xml:space="preserve">         8414 Geraty interest and dividends income</t>
  </si>
  <si>
    <t xml:space="preserve">      Total 8410 Geraty Endowment Investment Activity</t>
  </si>
  <si>
    <t xml:space="preserve">      8416 Building Fund Investment Activity</t>
  </si>
  <si>
    <t xml:space="preserve">         8417 Building Fund interest and dividends income</t>
  </si>
  <si>
    <t xml:space="preserve">         8418 Building Fund change in fair value</t>
  </si>
  <si>
    <t xml:space="preserve">      Total 8416 Building Fund Investment Activity</t>
  </si>
  <si>
    <t xml:space="preserve">      8420 Wright/Meyers Fund Investment Activity</t>
  </si>
  <si>
    <t xml:space="preserve">         8421 Wright/Meyers change in fair value</t>
  </si>
  <si>
    <t xml:space="preserve">         8424 Wright/Meyers interest and dividends income</t>
  </si>
  <si>
    <t xml:space="preserve">      Total 8420 Wright/Meyers Fund Investment Activity</t>
  </si>
  <si>
    <t xml:space="preserve">      8430 P.E. MacAllister Fund Investment Activity</t>
  </si>
  <si>
    <t xml:space="preserve">         8431 MacAllister Fund change in fair value</t>
  </si>
  <si>
    <t xml:space="preserve">         8434 MacAllister Fund interest and dividends income</t>
  </si>
  <si>
    <t xml:space="preserve">      Total 8430 P.E. MacAllister Fund Investment Activity</t>
  </si>
  <si>
    <t xml:space="preserve">      8440 Opportunity/Journal Fund Investment Activity</t>
  </si>
  <si>
    <t xml:space="preserve">         8441 Opportunity/Journal change in fair value</t>
  </si>
  <si>
    <t xml:space="preserve">         8444 Opportunity/Journal interest and dividends income</t>
  </si>
  <si>
    <t xml:space="preserve">      Total 8440 Opportunity/Journal Fund Investment Activity</t>
  </si>
  <si>
    <t xml:space="preserve">      8450 Harris Fellowship Investment Activity</t>
  </si>
  <si>
    <t xml:space="preserve">         8451 Harris interest and dividends income</t>
  </si>
  <si>
    <t xml:space="preserve">         8453 Harris change in fair value</t>
  </si>
  <si>
    <t xml:space="preserve">      Total 8450 Harris Fellowship Investment Activity</t>
  </si>
  <si>
    <t xml:space="preserve">      8455 Stevan B. Dana Fund Investment Activity</t>
  </si>
  <si>
    <t xml:space="preserve">         8456 Dana interest and dividends income</t>
  </si>
  <si>
    <t xml:space="preserve">         8458 Dana change in fair value</t>
  </si>
  <si>
    <t xml:space="preserve">      Total 8455 Stevan B. Dana Fund Investment Activity</t>
  </si>
  <si>
    <t xml:space="preserve">      8460 Platt Fellowship Investment Activity</t>
  </si>
  <si>
    <t xml:space="preserve">         8461 Platt interest and dividends income</t>
  </si>
  <si>
    <t xml:space="preserve">         8463 Platt change in fair value</t>
  </si>
  <si>
    <t xml:space="preserve">      Total 8460 Platt Fellowship Investment Activity</t>
  </si>
  <si>
    <t xml:space="preserve">      8470 General Fund Investment Activity</t>
  </si>
  <si>
    <t xml:space="preserve">         8471 General Fund interest and dividends income</t>
  </si>
  <si>
    <t xml:space="preserve">         8473 General Fund change in fair value</t>
  </si>
  <si>
    <t xml:space="preserve">      Total 8470 General Fund Investment Activity</t>
  </si>
  <si>
    <t xml:space="preserve">      8480 Strange Midkiff Investment Activity</t>
  </si>
  <si>
    <t xml:space="preserve">         8481 Strange Midkiff interest and dividends income</t>
  </si>
  <si>
    <t xml:space="preserve">         8483 Strange Midkiff change in fair value</t>
  </si>
  <si>
    <t xml:space="preserve">      Total 8480 Strange Midkiff Investment Activity</t>
  </si>
  <si>
    <t xml:space="preserve">      8490 Carol and Eric Meyers Investment Activity</t>
  </si>
  <si>
    <t xml:space="preserve">         8491 Carol and Eric Meyers interest and dividends income</t>
  </si>
  <si>
    <t xml:space="preserve">         8493 Carol and Eric Meyers Change in Fair Value</t>
  </si>
  <si>
    <t xml:space="preserve">      Total 8490 Carol and Eric Meyers Investment Activity</t>
  </si>
  <si>
    <t xml:space="preserve">      8499 Joe Seger Excavation Fund Investment Activity</t>
  </si>
  <si>
    <t xml:space="preserve">         8499-1 Seger interest and dividends income</t>
  </si>
  <si>
    <t xml:space="preserve">         8499-4 Seger Change in Fair Value</t>
  </si>
  <si>
    <t xml:space="preserve">      Total 8499 Joe Seger Excavation Fund Investment Activity</t>
  </si>
  <si>
    <t xml:space="preserve">      8540 BIPOC Endowment Fund Investment Activity</t>
  </si>
  <si>
    <t xml:space="preserve">         8541 BIPOC Endowment Fund Interest and Dividends</t>
  </si>
  <si>
    <t xml:space="preserve">         8542 BIPOC Endowment Fund Change in Value</t>
  </si>
  <si>
    <t xml:space="preserve">      Total 8540 BIPOC Endowment Fund Investment Activity</t>
  </si>
  <si>
    <t xml:space="preserve">      8600 2218 - Stevan B. Dana (#2) Fund Investment Activity</t>
  </si>
  <si>
    <t xml:space="preserve">         8601 Dana (#2) interest and dividends income</t>
  </si>
  <si>
    <t xml:space="preserve">         8602 Dana (#2) change in fair value</t>
  </si>
  <si>
    <t xml:space="preserve">      Total 8600 2218 - Stevan B. Dana (#2) Fund Investment Activity</t>
  </si>
  <si>
    <t xml:space="preserve">      8603 Stevan B. Dana (#3) Fund Investment Activity</t>
  </si>
  <si>
    <t xml:space="preserve">         8604 Dana (#3) interest and dividends income</t>
  </si>
  <si>
    <t xml:space="preserve">         8605 Dana (#3) change in fair value</t>
  </si>
  <si>
    <t xml:space="preserve">      Total 8603 Stevan B. Dana (#3) Fund Investment Activity</t>
  </si>
  <si>
    <t xml:space="preserve">   Total 8400 Charles Schwab Investment Activity</t>
  </si>
  <si>
    <t xml:space="preserve">   8705 BB&amp;T S&amp;S Endowment investment activity</t>
  </si>
  <si>
    <t xml:space="preserve">      8706 BB&amp;T S&amp;S Endow interest and dividends income</t>
  </si>
  <si>
    <t xml:space="preserve">      8708 BB&amp;T S&amp;S Endow Change in fair value</t>
  </si>
  <si>
    <t xml:space="preserve">   Total 8705 BB&amp;T S&amp;S Endowment investment activity</t>
  </si>
  <si>
    <t xml:space="preserve">   8710 BB&amp;T DOS Grant Funds Investment Activity</t>
  </si>
  <si>
    <t xml:space="preserve">      8711 BB&amp;T DOS interest and dividends income</t>
  </si>
  <si>
    <t xml:space="preserve">   Total 8710 BB&amp;T DOS Grant Funds Investment Activity</t>
  </si>
  <si>
    <t xml:space="preserve">   8713 BB&amp;T HPMM ASOR Endowment Investment Activity</t>
  </si>
  <si>
    <t xml:space="preserve">      8714 BB&amp;T HPMM Endow interest and dividends income</t>
  </si>
  <si>
    <t xml:space="preserve">   Total 8713 BB&amp;T HPMM ASOR Endowment Investment Activity</t>
  </si>
  <si>
    <t xml:space="preserve">   8715 Truist Kershaw Endowment investment activity</t>
  </si>
  <si>
    <t xml:space="preserve">      8516 Truist Kershaw Endowment interest and dividends</t>
  </si>
  <si>
    <t xml:space="preserve">      8717 Truist Kershaw Endowment change in fair value</t>
  </si>
  <si>
    <t xml:space="preserve">   Total 8715 Truist Kershaw Endowment investment activity</t>
  </si>
  <si>
    <t>Total Other Income</t>
  </si>
  <si>
    <t>Net Other Income</t>
  </si>
  <si>
    <t>Net Income</t>
  </si>
  <si>
    <t>Wednesday, Oct 26, 2022 02:23:57 PM GMT-7 - Accrual Basis</t>
  </si>
  <si>
    <t>Old Budget Categories</t>
  </si>
  <si>
    <t>4
6
8
20</t>
  </si>
  <si>
    <t xml:space="preserve">   -Dig Scholarship funds placed in endow
   -Excavation grant funds placed in endow
   -Fellowships for memb placed in endow
   -Designated gifts Endow Operations</t>
  </si>
  <si>
    <t>9
23</t>
  </si>
  <si>
    <t xml:space="preserve">   -Nies Trust placed in TR Account
   -Other designated gifts</t>
  </si>
  <si>
    <t xml:space="preserve">   -Fed Grants net revenue (incl indirect)
   -Fed Grants in-kind revenue</t>
  </si>
  <si>
    <t>10
10</t>
  </si>
  <si>
    <t xml:space="preserve">   -Legal services (in-kind)
   -Other In-kind</t>
  </si>
  <si>
    <t>28
28</t>
  </si>
  <si>
    <t xml:space="preserve">   -Dig Scholarships awarded in Fiscal Yr
   -Excavation Grants Awarded in Fiscal Yr
   -Fellowships for members in Fiscal Yr</t>
  </si>
  <si>
    <t>3
5
7</t>
  </si>
  <si>
    <t xml:space="preserve">      -Funds released from TR for books
   -CHI (non-federal) released from TR
   -Nies Trust released from TR for desig
   -Nies Trust released for JCS expenses</t>
  </si>
  <si>
    <t>15
11
9
9</t>
  </si>
  <si>
    <t xml:space="preserve">   Travel</t>
  </si>
  <si>
    <t>3'
4'</t>
  </si>
  <si>
    <t xml:space="preserve">   -Dig Scholarships awarded in Fiscal Yr
   -Dig Scholarship funds placed in endow</t>
  </si>
  <si>
    <t>5'
6'</t>
  </si>
  <si>
    <t xml:space="preserve">   -Excavation Grants Awarded in Fiscal Yr
   -Excavation grant funds placed in endow</t>
  </si>
  <si>
    <t>7'
8'</t>
  </si>
  <si>
    <t xml:space="preserve">   -Fellowships for members in Fiscal Yr
   -Fellowships for memb placed in endow</t>
  </si>
  <si>
    <t xml:space="preserve">   -Nies Trust Placed in Temp Restr
   -Nies Trust Released From TR for desig</t>
  </si>
  <si>
    <t>9'
9'</t>
  </si>
  <si>
    <t>Desig gifts dep into Endowment
Designated gifts deposited bldg fund</t>
  </si>
  <si>
    <t>20'
21'</t>
  </si>
  <si>
    <t>New Budget Categories</t>
  </si>
  <si>
    <t xml:space="preserve">         42100 Dig scholarships awarded
            42101 Heritage donations
            42103 Member-supported donations
            42104 Sheeler Fellowship donations</t>
  </si>
  <si>
    <t xml:space="preserve">         42200 Dig scholarships placed in endowment
            42202 Wright-Meyers Endowment donations
            42203 Strange Midkiff Endowment donations
            42204 Carol and Eric Meyers Endowment donations
            44018 BIPOC Endowment donations
            44206 Stevan B. Dana Endowment (#3) donations</t>
  </si>
  <si>
    <t xml:space="preserve">         42400 Excavation grants placed in endowment
            42402 Geraty Endowment donations
            42403 Stevan B. Dana Endowment (#2) Donations</t>
  </si>
  <si>
    <t xml:space="preserve">         42500 Fellowships for members awarded
            42501 Dever Award donations
            42502 Travel to Collections donations</t>
  </si>
  <si>
    <t xml:space="preserve">         42600 Fellowships for members placed in endowment
            42601 Mason Endowment donations</t>
  </si>
  <si>
    <t xml:space="preserve">      43000 Unrestricted gifts
         43001 Unrestricted (formerly Annual Fund)
         43002 Part of Contributing Membership
         43003 Part of Sustaining Membership</t>
  </si>
  <si>
    <t xml:space="preserve">   4400 Annual Meeting Income
      4418 Annual Meeting Registration
      4419 Late Abstract Submission Fee
      4422 AM Reimbursements
      4422-7 AM Hotel Commission
      4423 AM Legacy Dinner
      4424 Book Exhibit Fees
      4425 Exhibitor Advertising</t>
  </si>
  <si>
    <t xml:space="preserve">   50000 Grant income
      51000 Federal grants
         51004 LEO Grant for Libya 2019
         51005 LEO-Libya AM Grant 2020 &amp; 2021
         51006 Libya AFCP 2020 Grant
         51007 DRL Grant 2021
         51008 CPAIG Grant 2021
         51009 Tunisia PAS Grant 2022</t>
  </si>
  <si>
    <t xml:space="preserve">         44004 Development donations</t>
  </si>
  <si>
    <t>TR release: LCP gifts</t>
  </si>
  <si>
    <t>LEGEND:</t>
  </si>
  <si>
    <t>Old budget categories</t>
  </si>
  <si>
    <t>Admin. fees from endowment releases worksheet</t>
  </si>
  <si>
    <t>Distributions from Scott &amp; Stringfellow endowment account</t>
  </si>
  <si>
    <t xml:space="preserve">   9100 Non-Federal Grants Expenses
      9101 Non-Federal Grants Salaries
      9102 Non-Federal Grants Fringe
      9103 Non-Federal Grants Travel
         9103-1 Non-Federal Grants U.S. Travel
         9103-2 Non-Federal Grants International Travel
      9104 Equipment
      9105 Non-Federal Grants Supplies
      9106 Non-Federal Grants Contractual
      9107 Non-Federal Grants Other Direct</t>
  </si>
  <si>
    <t>TR release: Nies for JCS expenses</t>
  </si>
  <si>
    <t>TR release: Nies for designated purposes</t>
  </si>
  <si>
    <t>Calibi font 12 in column A</t>
  </si>
  <si>
    <t>Arial font 8 in column A</t>
  </si>
  <si>
    <t xml:space="preserve"> -Arial font 8 in columns E and F</t>
  </si>
  <si>
    <t xml:space="preserve">      6004-03 Fellowships for ASOR members
         6004-11 Travel to Collections Fellowshi
         6004-15 William G. Dever Fellowship
         6004-20 Mason Fellowship</t>
  </si>
  <si>
    <t xml:space="preserve">      6811 Annual Meeting Scholarship Expenses
         6745 Kress Travel (deleted)
         6814 AM Travel grant
         6816 TFBA Scholarship
         6818 Annual Meeting registration scholarships</t>
  </si>
  <si>
    <t xml:space="preserve">   6150 Payroll Expenses
      6006 FSA admin fee
      6101-10 ME taxes
      6101-22 CA unemployment and emp. train.
      6101-23 Health insurance
      6101-24 MD Unemployment
      6101-26 VA Unemployment
      6101-30 NJ taxes
      6101-31 DC Taxes
      6101-32 TX unemployment
      6101-33 CO unemployment
      6101-9 MA Unempl. &amp; Training tax
      6550 Payroll Service Expense</t>
  </si>
  <si>
    <t xml:space="preserve">   6300 Equipment &amp; Supplies
      6311 Office Supplies
      6440 Computer Supplies</t>
  </si>
  <si>
    <t xml:space="preserve">      6501 Officers/Staff Travel
         6501-6 Travel - Domestic
         6501-7 Travel - International</t>
  </si>
  <si>
    <t xml:space="preserve">   6713 Investment Expenses
      6713-1 BB&amp;T S&amp;S Endowment admin fees
      6713-2 Truist Kershaw Endowment admin fees</t>
  </si>
  <si>
    <t xml:space="preserve">      9003 Federal Grants Travel
         9003-1 Federal Grants Local Travel
         9003-2 Federal Grants International Travel</t>
  </si>
  <si>
    <t xml:space="preserve">   P-260 Book Production
      P-260-1 Book Production COGS
      P-270 Distribution/Marketing</t>
  </si>
  <si>
    <t>9104 Non-Federal Grants Equipment</t>
  </si>
  <si>
    <t xml:space="preserve">      45000 Cultural Heritage Initiatives
         45001 Unrestricted CHI gifts</t>
  </si>
  <si>
    <t xml:space="preserve">      6004-01 Excavation Fellowships
         6004-00 Endowment Fellowships
            6004-1 Platt Fellowship
            6004-10 Strange Midkiff Fellowship
            6004-16 Dana (#1) Fellowship
            6004-18 Dana (#2) Fellowship
            6004-21 BIPOC Scholarship
            6004-3 Wright/Meyers
            6004-6 PE MacAllister Fellowship
            6004-9 Carol and Eric Meyers Fellowshi
         Total 6004-00 Endowment Fellowships
         6004-02 Annual Excavation Fellowships
            6004-14 Steinmetz Fellowship
            6004-2 Heritage Fellowship
            6004-7 H. Sheeler Fellowship
            6004-8 ASOR Membership Supported Fello</t>
  </si>
  <si>
    <t>6999-1 Archaeological Travel and Support Expenses</t>
  </si>
  <si>
    <t xml:space="preserve">      6560 Insurance
         6579 E &amp; O Insurance (Professional Liability)
         6583 Business Owners Policy (BOP)</t>
  </si>
  <si>
    <t>In and out - item listed on both income and expenses</t>
  </si>
  <si>
    <t>Forgiveness of PPP loan</t>
  </si>
  <si>
    <t xml:space="preserve">   Donations to temp restricted</t>
  </si>
  <si>
    <t xml:space="preserve">   Nies Trust in temp restricted</t>
  </si>
  <si>
    <t xml:space="preserve">      Designated gifts placed in temp restricted</t>
  </si>
  <si>
    <t>Subtract JCS release from Felice's salary</t>
  </si>
  <si>
    <t>Source is outside of Income or Expenses of P&amp;L</t>
  </si>
  <si>
    <t>NOT ON BUDGET TO ACTUAL</t>
  </si>
  <si>
    <t>New format sections</t>
  </si>
  <si>
    <t>QuickBooks categories</t>
  </si>
  <si>
    <t>Exhibit B: FY 2022 Operating Budget to Actual</t>
  </si>
  <si>
    <t>GRAND TOTAL (without PPP Loan)</t>
  </si>
  <si>
    <t xml:space="preserve">   Use of prior year unrestricted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</si>
</sst>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404040"/>
      <name val="Arial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4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/>
    </xf>
    <xf numFmtId="44" fontId="6" fillId="0" borderId="1" xfId="0" applyNumberFormat="1" applyFont="1" applyBorder="1"/>
    <xf numFmtId="44" fontId="6" fillId="0" borderId="1" xfId="1" applyFont="1" applyFill="1" applyBorder="1"/>
    <xf numFmtId="44" fontId="6" fillId="0" borderId="1" xfId="1" applyFont="1" applyBorder="1"/>
    <xf numFmtId="37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/>
    <xf numFmtId="44" fontId="6" fillId="2" borderId="1" xfId="1" applyFont="1" applyFill="1" applyBorder="1"/>
    <xf numFmtId="37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44" fontId="6" fillId="3" borderId="1" xfId="1" applyFont="1" applyFill="1" applyBorder="1"/>
    <xf numFmtId="44" fontId="6" fillId="3" borderId="1" xfId="0" applyNumberFormat="1" applyFont="1" applyFill="1" applyBorder="1"/>
    <xf numFmtId="37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vertical="center"/>
    </xf>
    <xf numFmtId="37" fontId="6" fillId="4" borderId="1" xfId="0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vertical="center"/>
    </xf>
    <xf numFmtId="44" fontId="6" fillId="4" borderId="1" xfId="1" applyFont="1" applyFill="1" applyBorder="1"/>
    <xf numFmtId="44" fontId="6" fillId="4" borderId="1" xfId="0" applyNumberFormat="1" applyFont="1" applyFill="1" applyBorder="1"/>
    <xf numFmtId="44" fontId="6" fillId="5" borderId="1" xfId="1" applyFont="1" applyFill="1" applyBorder="1"/>
    <xf numFmtId="44" fontId="6" fillId="5" borderId="1" xfId="0" applyNumberFormat="1" applyFont="1" applyFill="1" applyBorder="1"/>
    <xf numFmtId="37" fontId="6" fillId="2" borderId="2" xfId="0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vertical="center"/>
    </xf>
    <xf numFmtId="44" fontId="6" fillId="2" borderId="2" xfId="0" applyNumberFormat="1" applyFont="1" applyFill="1" applyBorder="1"/>
    <xf numFmtId="44" fontId="4" fillId="0" borderId="3" xfId="0" applyNumberFormat="1" applyFont="1" applyBorder="1"/>
    <xf numFmtId="0" fontId="7" fillId="0" borderId="0" xfId="0" applyFont="1"/>
    <xf numFmtId="37" fontId="6" fillId="0" borderId="2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vertical="center"/>
    </xf>
    <xf numFmtId="44" fontId="6" fillId="0" borderId="2" xfId="0" applyNumberFormat="1" applyFont="1" applyBorder="1"/>
    <xf numFmtId="44" fontId="6" fillId="0" borderId="4" xfId="0" applyNumberFormat="1" applyFont="1" applyBorder="1"/>
    <xf numFmtId="44" fontId="6" fillId="0" borderId="3" xfId="0" applyNumberFormat="1" applyFont="1" applyBorder="1"/>
    <xf numFmtId="44" fontId="6" fillId="0" borderId="2" xfId="1" applyFont="1" applyFill="1" applyBorder="1"/>
    <xf numFmtId="0" fontId="0" fillId="0" borderId="0" xfId="0" applyAlignment="1">
      <alignment horizontal="center"/>
    </xf>
    <xf numFmtId="44" fontId="6" fillId="0" borderId="0" xfId="0" applyNumberFormat="1" applyFont="1"/>
    <xf numFmtId="44" fontId="6" fillId="0" borderId="0" xfId="1" applyFont="1" applyBorder="1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right" wrapText="1"/>
    </xf>
    <xf numFmtId="165" fontId="11" fillId="0" borderId="7" xfId="0" applyNumberFormat="1" applyFont="1" applyBorder="1" applyAlignment="1">
      <alignment horizontal="right" wrapText="1"/>
    </xf>
    <xf numFmtId="44" fontId="6" fillId="6" borderId="1" xfId="1" applyFont="1" applyFill="1" applyBorder="1"/>
    <xf numFmtId="44" fontId="6" fillId="6" borderId="1" xfId="0" applyNumberFormat="1" applyFont="1" applyFill="1" applyBorder="1"/>
    <xf numFmtId="44" fontId="2" fillId="0" borderId="1" xfId="0" applyNumberFormat="1" applyFont="1" applyBorder="1"/>
    <xf numFmtId="44" fontId="6" fillId="6" borderId="2" xfId="0" applyNumberFormat="1" applyFont="1" applyFill="1" applyBorder="1"/>
    <xf numFmtId="37" fontId="6" fillId="2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vertical="center" wrapText="1"/>
    </xf>
    <xf numFmtId="37" fontId="6" fillId="3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vertical="center" wrapText="1"/>
    </xf>
    <xf numFmtId="37" fontId="6" fillId="4" borderId="1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37" fontId="6" fillId="0" borderId="1" xfId="0" applyNumberFormat="1" applyFont="1" applyBorder="1" applyAlignment="1">
      <alignment horizontal="center" vertical="center" wrapText="1"/>
    </xf>
    <xf numFmtId="44" fontId="2" fillId="0" borderId="0" xfId="0" applyNumberFormat="1" applyFont="1"/>
    <xf numFmtId="44" fontId="6" fillId="7" borderId="1" xfId="1" applyFont="1" applyFill="1" applyBorder="1"/>
    <xf numFmtId="44" fontId="6" fillId="7" borderId="1" xfId="0" applyNumberFormat="1" applyFont="1" applyFill="1" applyBorder="1"/>
    <xf numFmtId="44" fontId="6" fillId="7" borderId="2" xfId="1" applyFont="1" applyFill="1" applyBorder="1"/>
    <xf numFmtId="164" fontId="12" fillId="3" borderId="0" xfId="0" applyNumberFormat="1" applyFont="1" applyFill="1" applyAlignment="1">
      <alignment horizontal="right" wrapText="1"/>
    </xf>
    <xf numFmtId="165" fontId="11" fillId="3" borderId="7" xfId="0" applyNumberFormat="1" applyFont="1" applyFill="1" applyBorder="1" applyAlignment="1">
      <alignment horizontal="right" wrapText="1"/>
    </xf>
    <xf numFmtId="164" fontId="12" fillId="8" borderId="0" xfId="0" applyNumberFormat="1" applyFont="1" applyFill="1" applyAlignment="1">
      <alignment horizontal="right" wrapText="1"/>
    </xf>
    <xf numFmtId="165" fontId="11" fillId="8" borderId="7" xfId="0" applyNumberFormat="1" applyFont="1" applyFill="1" applyBorder="1" applyAlignment="1">
      <alignment horizontal="right" wrapText="1"/>
    </xf>
    <xf numFmtId="0" fontId="0" fillId="0" borderId="5" xfId="0" applyBorder="1"/>
    <xf numFmtId="37" fontId="4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37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vertical="center" wrapText="1"/>
    </xf>
    <xf numFmtId="0" fontId="0" fillId="0" borderId="8" xfId="0" applyBorder="1"/>
    <xf numFmtId="164" fontId="12" fillId="6" borderId="0" xfId="0" applyNumberFormat="1" applyFont="1" applyFill="1" applyAlignment="1">
      <alignment horizontal="right" wrapText="1"/>
    </xf>
    <xf numFmtId="165" fontId="11" fillId="6" borderId="7" xfId="0" applyNumberFormat="1" applyFont="1" applyFill="1" applyBorder="1" applyAlignment="1">
      <alignment horizontal="right" wrapText="1"/>
    </xf>
    <xf numFmtId="164" fontId="12" fillId="9" borderId="0" xfId="0" applyNumberFormat="1" applyFont="1" applyFill="1" applyAlignment="1">
      <alignment horizontal="right" wrapText="1"/>
    </xf>
    <xf numFmtId="0" fontId="0" fillId="0" borderId="6" xfId="0" applyBorder="1"/>
    <xf numFmtId="0" fontId="0" fillId="0" borderId="9" xfId="0" applyBorder="1"/>
    <xf numFmtId="165" fontId="11" fillId="9" borderId="7" xfId="0" applyNumberFormat="1" applyFont="1" applyFill="1" applyBorder="1" applyAlignment="1">
      <alignment horizontal="right" wrapText="1"/>
    </xf>
    <xf numFmtId="0" fontId="11" fillId="0" borderId="8" xfId="0" applyFont="1" applyBorder="1" applyAlignment="1">
      <alignment horizontal="left" wrapText="1"/>
    </xf>
    <xf numFmtId="165" fontId="11" fillId="8" borderId="10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5" fillId="0" borderId="0" xfId="0" applyFont="1"/>
    <xf numFmtId="165" fontId="11" fillId="0" borderId="10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wrapText="1"/>
    </xf>
    <xf numFmtId="44" fontId="0" fillId="0" borderId="1" xfId="0" applyNumberFormat="1" applyFill="1" applyBorder="1"/>
    <xf numFmtId="44" fontId="0" fillId="0" borderId="0" xfId="0" applyNumberFormat="1" applyFill="1"/>
    <xf numFmtId="37" fontId="6" fillId="0" borderId="0" xfId="0" applyNumberFormat="1" applyFont="1" applyFill="1" applyAlignment="1">
      <alignment horizontal="center" vertical="center" wrapText="1"/>
    </xf>
    <xf numFmtId="44" fontId="6" fillId="0" borderId="0" xfId="0" applyNumberFormat="1" applyFont="1" applyFill="1" applyAlignment="1">
      <alignment vertical="center" wrapText="1"/>
    </xf>
    <xf numFmtId="0" fontId="0" fillId="0" borderId="0" xfId="0" applyFill="1"/>
    <xf numFmtId="0" fontId="11" fillId="9" borderId="1" xfId="0" applyFont="1" applyFill="1" applyBorder="1" applyAlignment="1">
      <alignment horizontal="left" wrapText="1"/>
    </xf>
    <xf numFmtId="44" fontId="0" fillId="9" borderId="1" xfId="0" applyNumberFormat="1" applyFill="1" applyBorder="1"/>
    <xf numFmtId="0" fontId="11" fillId="9" borderId="0" xfId="0" applyFont="1" applyFill="1" applyAlignment="1">
      <alignment horizontal="left" wrapText="1"/>
    </xf>
    <xf numFmtId="0" fontId="0" fillId="0" borderId="0" xfId="0" applyFill="1" applyBorder="1"/>
    <xf numFmtId="0" fontId="0" fillId="9" borderId="1" xfId="0" applyFill="1" applyBorder="1"/>
    <xf numFmtId="0" fontId="13" fillId="0" borderId="1" xfId="0" applyFont="1" applyFill="1" applyBorder="1"/>
    <xf numFmtId="0" fontId="13" fillId="9" borderId="1" xfId="0" applyFont="1" applyFill="1" applyBorder="1"/>
    <xf numFmtId="0" fontId="11" fillId="10" borderId="1" xfId="0" applyFont="1" applyFill="1" applyBorder="1" applyAlignment="1">
      <alignment horizontal="left" wrapText="1"/>
    </xf>
    <xf numFmtId="0" fontId="0" fillId="10" borderId="1" xfId="0" applyFill="1" applyBorder="1"/>
    <xf numFmtId="0" fontId="13" fillId="10" borderId="1" xfId="0" applyFont="1" applyFill="1" applyBorder="1" applyAlignment="1">
      <alignment wrapText="1"/>
    </xf>
    <xf numFmtId="44" fontId="0" fillId="10" borderId="1" xfId="0" applyNumberFormat="1" applyFill="1" applyBorder="1"/>
    <xf numFmtId="0" fontId="14" fillId="10" borderId="0" xfId="0" applyFont="1" applyFill="1"/>
    <xf numFmtId="0" fontId="0" fillId="0" borderId="0" xfId="0" applyBorder="1"/>
    <xf numFmtId="0" fontId="0" fillId="0" borderId="7" xfId="0" applyFill="1" applyBorder="1"/>
    <xf numFmtId="164" fontId="12" fillId="0" borderId="0" xfId="0" applyNumberFormat="1" applyFont="1" applyFill="1" applyAlignment="1">
      <alignment horizontal="right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/>
    </xf>
    <xf numFmtId="0" fontId="16" fillId="0" borderId="0" xfId="0" applyFont="1"/>
    <xf numFmtId="0" fontId="0" fillId="0" borderId="0" xfId="0"/>
    <xf numFmtId="44" fontId="6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44" fontId="6" fillId="0" borderId="1" xfId="0" applyNumberFormat="1" applyFont="1" applyBorder="1"/>
    <xf numFmtId="44" fontId="6" fillId="3" borderId="1" xfId="0" applyNumberFormat="1" applyFont="1" applyFill="1" applyBorder="1" applyAlignment="1">
      <alignment horizontal="left" vertical="center"/>
    </xf>
    <xf numFmtId="44" fontId="4" fillId="0" borderId="3" xfId="0" applyNumberFormat="1" applyFont="1" applyBorder="1" applyAlignment="1">
      <alignment horizontal="left" vertical="center"/>
    </xf>
    <xf numFmtId="37" fontId="6" fillId="0" borderId="0" xfId="0" applyNumberFormat="1" applyFont="1" applyAlignment="1">
      <alignment horizontal="center"/>
    </xf>
    <xf numFmtId="44" fontId="6" fillId="3" borderId="1" xfId="0" applyNumberFormat="1" applyFont="1" applyFill="1" applyBorder="1"/>
    <xf numFmtId="44" fontId="4" fillId="0" borderId="4" xfId="0" applyNumberFormat="1" applyFont="1" applyBorder="1" applyAlignment="1">
      <alignment horizontal="left" vertical="center"/>
    </xf>
    <xf numFmtId="44" fontId="4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esktop/Files/Misc/Budget%20to%20Forecast/FY22%20Budget%20to%20Forecast/fy21%20ASOR%20Budget%20to%20forecast%202021-03-31%20dated%202021-05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budget FY21"/>
      <sheetName val="budget detail FY21 Mar21"/>
      <sheetName val="PNL Mar 2021"/>
      <sheetName val="PNL to Feb 2021"/>
      <sheetName val="Summary for Board"/>
      <sheetName val="FY22 Budget"/>
    </sheetNames>
    <sheetDataSet>
      <sheetData sheetId="0"/>
      <sheetData sheetId="1">
        <row r="5">
          <cell r="F5">
            <v>157250</v>
          </cell>
        </row>
        <row r="7">
          <cell r="F7">
            <v>12000</v>
          </cell>
        </row>
        <row r="10">
          <cell r="F10">
            <v>52000</v>
          </cell>
        </row>
        <row r="11">
          <cell r="F11">
            <v>5300</v>
          </cell>
        </row>
        <row r="12">
          <cell r="F12">
            <v>22500</v>
          </cell>
        </row>
        <row r="13">
          <cell r="F13">
            <v>106000</v>
          </cell>
        </row>
        <row r="14">
          <cell r="F14">
            <v>0</v>
          </cell>
        </row>
        <row r="15">
          <cell r="F15">
            <v>3700</v>
          </cell>
        </row>
        <row r="16">
          <cell r="F16">
            <v>21500</v>
          </cell>
        </row>
        <row r="17">
          <cell r="F17"/>
        </row>
        <row r="18">
          <cell r="F18">
            <v>7500</v>
          </cell>
        </row>
        <row r="21">
          <cell r="F21">
            <v>86250</v>
          </cell>
        </row>
        <row r="22">
          <cell r="F22">
            <v>13750</v>
          </cell>
        </row>
        <row r="24">
          <cell r="F24">
            <v>5000</v>
          </cell>
        </row>
        <row r="27">
          <cell r="F27">
            <v>4300</v>
          </cell>
        </row>
        <row r="28">
          <cell r="F28"/>
        </row>
        <row r="31">
          <cell r="F31">
            <v>115350</v>
          </cell>
        </row>
        <row r="32">
          <cell r="F32">
            <v>186000</v>
          </cell>
        </row>
        <row r="33">
          <cell r="F33">
            <v>33900</v>
          </cell>
        </row>
        <row r="37">
          <cell r="F37">
            <v>6280</v>
          </cell>
        </row>
        <row r="38">
          <cell r="F38">
            <v>3000</v>
          </cell>
        </row>
        <row r="41">
          <cell r="F41">
            <v>125000</v>
          </cell>
        </row>
        <row r="42">
          <cell r="F42">
            <v>55000</v>
          </cell>
        </row>
        <row r="43">
          <cell r="F43">
            <v>37350</v>
          </cell>
        </row>
        <row r="44">
          <cell r="F44">
            <v>50</v>
          </cell>
        </row>
        <row r="45">
          <cell r="F45">
            <v>14830</v>
          </cell>
        </row>
        <row r="47">
          <cell r="F47">
            <v>1500</v>
          </cell>
        </row>
        <row r="48">
          <cell r="F48">
            <v>95000</v>
          </cell>
        </row>
        <row r="49">
          <cell r="F49">
            <v>6650</v>
          </cell>
        </row>
        <row r="50">
          <cell r="F50">
            <v>40</v>
          </cell>
        </row>
        <row r="51">
          <cell r="F51">
            <v>5500</v>
          </cell>
        </row>
        <row r="54">
          <cell r="F54">
            <v>50</v>
          </cell>
        </row>
        <row r="55">
          <cell r="F55">
            <v>225000</v>
          </cell>
        </row>
        <row r="56">
          <cell r="F56">
            <v>25000</v>
          </cell>
        </row>
        <row r="57">
          <cell r="F57">
            <v>118700</v>
          </cell>
        </row>
        <row r="58">
          <cell r="F58"/>
        </row>
        <row r="59">
          <cell r="F59">
            <v>15000</v>
          </cell>
        </row>
        <row r="61">
          <cell r="F61">
            <v>35000</v>
          </cell>
        </row>
        <row r="62">
          <cell r="F62">
            <v>1000</v>
          </cell>
        </row>
        <row r="69">
          <cell r="F69">
            <v>31320</v>
          </cell>
        </row>
        <row r="70">
          <cell r="F70">
            <v>14100</v>
          </cell>
        </row>
        <row r="71">
          <cell r="F71">
            <v>4000</v>
          </cell>
        </row>
        <row r="73">
          <cell r="F73">
            <v>1000</v>
          </cell>
        </row>
        <row r="76">
          <cell r="F76">
            <v>52000</v>
          </cell>
        </row>
        <row r="77">
          <cell r="F77">
            <v>5300</v>
          </cell>
        </row>
        <row r="78">
          <cell r="F78">
            <v>22500</v>
          </cell>
        </row>
        <row r="79">
          <cell r="F79">
            <v>106000</v>
          </cell>
        </row>
        <row r="80">
          <cell r="F80">
            <v>0</v>
          </cell>
        </row>
        <row r="81">
          <cell r="F81">
            <v>3700</v>
          </cell>
        </row>
        <row r="82">
          <cell r="F82">
            <v>21500</v>
          </cell>
        </row>
        <row r="83">
          <cell r="F83"/>
        </row>
        <row r="84">
          <cell r="F84">
            <v>11500</v>
          </cell>
        </row>
        <row r="86">
          <cell r="E86">
            <v>0</v>
          </cell>
        </row>
        <row r="87">
          <cell r="F87">
            <v>1000</v>
          </cell>
        </row>
        <row r="88">
          <cell r="F88">
            <v>3000</v>
          </cell>
        </row>
        <row r="89">
          <cell r="F89">
            <v>225000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700</v>
          </cell>
        </row>
        <row r="93">
          <cell r="F93">
            <v>0</v>
          </cell>
        </row>
        <row r="94">
          <cell r="F94">
            <v>15000</v>
          </cell>
        </row>
        <row r="98">
          <cell r="F98">
            <v>26000</v>
          </cell>
        </row>
        <row r="99">
          <cell r="F99">
            <v>18500</v>
          </cell>
        </row>
        <row r="100">
          <cell r="F100">
            <v>0</v>
          </cell>
        </row>
        <row r="101">
          <cell r="F101">
            <v>7500</v>
          </cell>
        </row>
        <row r="104">
          <cell r="F104">
            <v>29000</v>
          </cell>
        </row>
        <row r="105">
          <cell r="F105">
            <v>6000</v>
          </cell>
        </row>
        <row r="108">
          <cell r="F108">
            <v>37850</v>
          </cell>
        </row>
        <row r="109">
          <cell r="F109">
            <v>4800</v>
          </cell>
        </row>
        <row r="110">
          <cell r="F110">
            <v>1700</v>
          </cell>
        </row>
        <row r="111">
          <cell r="F111">
            <v>4000</v>
          </cell>
        </row>
        <row r="112">
          <cell r="F112">
            <v>34000</v>
          </cell>
        </row>
        <row r="113">
          <cell r="F113">
            <v>14000</v>
          </cell>
        </row>
        <row r="115">
          <cell r="F115">
            <v>5000</v>
          </cell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>
            <v>2900</v>
          </cell>
        </row>
        <row r="122">
          <cell r="F122"/>
        </row>
        <row r="123">
          <cell r="F123"/>
        </row>
        <row r="124">
          <cell r="F124"/>
        </row>
        <row r="125">
          <cell r="F125">
            <v>4300</v>
          </cell>
        </row>
        <row r="126">
          <cell r="F126">
            <v>25000</v>
          </cell>
        </row>
        <row r="129">
          <cell r="F129">
            <v>22500</v>
          </cell>
        </row>
        <row r="130">
          <cell r="F130">
            <v>12500</v>
          </cell>
        </row>
        <row r="133">
          <cell r="F133">
            <v>1500</v>
          </cell>
        </row>
        <row r="134">
          <cell r="F134">
            <v>95000</v>
          </cell>
        </row>
        <row r="137">
          <cell r="F137">
            <v>600315.29999999993</v>
          </cell>
        </row>
        <row r="138">
          <cell r="F138">
            <v>15000</v>
          </cell>
        </row>
        <row r="139">
          <cell r="F139">
            <v>6000</v>
          </cell>
        </row>
        <row r="140">
          <cell r="F140">
            <v>2200</v>
          </cell>
        </row>
        <row r="141">
          <cell r="F141">
            <v>1300</v>
          </cell>
        </row>
        <row r="142">
          <cell r="F142">
            <v>12500</v>
          </cell>
        </row>
        <row r="143">
          <cell r="F143">
            <v>0</v>
          </cell>
        </row>
        <row r="144">
          <cell r="F144">
            <v>15000</v>
          </cell>
        </row>
        <row r="145">
          <cell r="F145">
            <v>32000</v>
          </cell>
        </row>
        <row r="146">
          <cell r="F146">
            <v>10000</v>
          </cell>
        </row>
        <row r="147">
          <cell r="F147">
            <v>8000</v>
          </cell>
        </row>
        <row r="148">
          <cell r="F148">
            <v>2000</v>
          </cell>
        </row>
        <row r="149">
          <cell r="F149">
            <v>5000</v>
          </cell>
        </row>
        <row r="150">
          <cell r="F150">
            <v>75</v>
          </cell>
        </row>
        <row r="151">
          <cell r="F151">
            <v>35000</v>
          </cell>
        </row>
        <row r="152">
          <cell r="F152">
            <v>1000</v>
          </cell>
        </row>
        <row r="153">
          <cell r="F153">
            <v>1250</v>
          </cell>
        </row>
        <row r="154">
          <cell r="F154">
            <v>20824.226666666666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5B85-8BD1-A341-87D8-15ABF573E122}">
  <dimension ref="A1:E97"/>
  <sheetViews>
    <sheetView topLeftCell="A25" zoomScale="140" zoomScaleNormal="140" workbookViewId="0">
      <selection activeCell="F26" sqref="F26"/>
    </sheetView>
  </sheetViews>
  <sheetFormatPr baseColWidth="10" defaultRowHeight="16" x14ac:dyDescent="0.2"/>
  <cols>
    <col min="1" max="1" width="3.33203125" style="34" customWidth="1"/>
    <col min="2" max="2" width="30" bestFit="1" customWidth="1"/>
    <col min="3" max="3" width="14.1640625" style="27" bestFit="1" customWidth="1"/>
    <col min="4" max="4" width="14.33203125" style="35" customWidth="1"/>
    <col min="5" max="5" width="13.6640625" style="36" bestFit="1" customWidth="1"/>
  </cols>
  <sheetData>
    <row r="1" spans="1:5" x14ac:dyDescent="0.2">
      <c r="A1" s="114" t="s">
        <v>0</v>
      </c>
      <c r="B1" s="114"/>
      <c r="C1" s="114"/>
      <c r="D1" s="114"/>
      <c r="E1" s="114"/>
    </row>
    <row r="2" spans="1:5" x14ac:dyDescent="0.2">
      <c r="A2" s="115" t="s">
        <v>1</v>
      </c>
      <c r="B2" s="115"/>
      <c r="C2" s="1" t="s">
        <v>2</v>
      </c>
      <c r="D2" s="2" t="s">
        <v>3</v>
      </c>
      <c r="E2" s="2" t="s">
        <v>4</v>
      </c>
    </row>
    <row r="3" spans="1:5" x14ac:dyDescent="0.2">
      <c r="A3" s="113" t="s">
        <v>5</v>
      </c>
      <c r="B3" s="113"/>
      <c r="C3" s="113"/>
      <c r="D3" s="113"/>
      <c r="E3" s="113"/>
    </row>
    <row r="4" spans="1:5" x14ac:dyDescent="0.2">
      <c r="A4" s="3">
        <v>1</v>
      </c>
      <c r="B4" s="4" t="s">
        <v>6</v>
      </c>
      <c r="C4" s="4">
        <v>300000</v>
      </c>
      <c r="D4" s="4">
        <f>'[1]budget detail FY21 Mar21'!F5</f>
        <v>157250</v>
      </c>
      <c r="E4" s="48">
        <v>235000</v>
      </c>
    </row>
    <row r="5" spans="1:5" x14ac:dyDescent="0.2">
      <c r="A5" s="3">
        <v>2</v>
      </c>
      <c r="B5" s="4" t="s">
        <v>7</v>
      </c>
      <c r="C5" s="4">
        <v>25000</v>
      </c>
      <c r="D5" s="4">
        <f>'[1]budget detail FY21 Mar21'!F7</f>
        <v>12000</v>
      </c>
      <c r="E5" s="48">
        <v>48000</v>
      </c>
    </row>
    <row r="6" spans="1:5" x14ac:dyDescent="0.2">
      <c r="A6" s="3"/>
      <c r="B6" s="116" t="s">
        <v>8</v>
      </c>
      <c r="C6" s="116"/>
      <c r="D6" s="116"/>
      <c r="E6" s="116"/>
    </row>
    <row r="7" spans="1:5" x14ac:dyDescent="0.2">
      <c r="A7" s="7">
        <v>3</v>
      </c>
      <c r="B7" s="8" t="s">
        <v>9</v>
      </c>
      <c r="C7" s="9">
        <v>60000</v>
      </c>
      <c r="D7" s="9">
        <f>'[1]budget detail FY21 Mar21'!F10</f>
        <v>52000</v>
      </c>
      <c r="E7" s="48">
        <v>60000</v>
      </c>
    </row>
    <row r="8" spans="1:5" x14ac:dyDescent="0.2">
      <c r="A8" s="7">
        <v>4</v>
      </c>
      <c r="B8" s="8" t="s">
        <v>10</v>
      </c>
      <c r="C8" s="10">
        <v>10000</v>
      </c>
      <c r="D8" s="9">
        <f>'[1]budget detail FY21 Mar21'!F11</f>
        <v>5300</v>
      </c>
      <c r="E8" s="48">
        <v>7500</v>
      </c>
    </row>
    <row r="9" spans="1:5" x14ac:dyDescent="0.2">
      <c r="A9" s="7">
        <v>5</v>
      </c>
      <c r="B9" s="8" t="s">
        <v>11</v>
      </c>
      <c r="C9" s="10">
        <v>25000</v>
      </c>
      <c r="D9" s="9">
        <f>'[1]budget detail FY21 Mar21'!F12</f>
        <v>22500</v>
      </c>
      <c r="E9" s="48">
        <v>30000</v>
      </c>
    </row>
    <row r="10" spans="1:5" x14ac:dyDescent="0.2">
      <c r="A10" s="7">
        <v>6</v>
      </c>
      <c r="B10" s="8" t="s">
        <v>12</v>
      </c>
      <c r="C10" s="10">
        <v>10000</v>
      </c>
      <c r="D10" s="9">
        <f>'[1]budget detail FY21 Mar21'!F13</f>
        <v>106000</v>
      </c>
      <c r="E10" s="48">
        <v>100000</v>
      </c>
    </row>
    <row r="11" spans="1:5" x14ac:dyDescent="0.2">
      <c r="A11" s="7">
        <v>7</v>
      </c>
      <c r="B11" s="8" t="s">
        <v>13</v>
      </c>
      <c r="C11" s="10">
        <v>11000</v>
      </c>
      <c r="D11" s="9">
        <f>'[1]budget detail FY21 Mar21'!F14</f>
        <v>0</v>
      </c>
      <c r="E11" s="48">
        <v>11000</v>
      </c>
    </row>
    <row r="12" spans="1:5" x14ac:dyDescent="0.2">
      <c r="A12" s="7">
        <v>8</v>
      </c>
      <c r="B12" s="8" t="s">
        <v>14</v>
      </c>
      <c r="C12" s="10">
        <v>7000</v>
      </c>
      <c r="D12" s="9">
        <f>'[1]budget detail FY21 Mar21'!F15</f>
        <v>3700</v>
      </c>
      <c r="E12" s="48">
        <v>5000</v>
      </c>
    </row>
    <row r="13" spans="1:5" x14ac:dyDescent="0.2">
      <c r="A13" s="7">
        <v>9</v>
      </c>
      <c r="B13" s="8" t="s">
        <v>15</v>
      </c>
      <c r="C13" s="10">
        <v>19000</v>
      </c>
      <c r="D13" s="9">
        <f>'[1]budget detail FY21 Mar21'!F16</f>
        <v>21500</v>
      </c>
      <c r="E13" s="48">
        <v>22500</v>
      </c>
    </row>
    <row r="14" spans="1:5" x14ac:dyDescent="0.2">
      <c r="A14" s="7">
        <v>9</v>
      </c>
      <c r="B14" s="8" t="s">
        <v>16</v>
      </c>
      <c r="C14" s="10"/>
      <c r="D14" s="9">
        <f>'[1]budget detail FY21 Mar21'!F17</f>
        <v>0</v>
      </c>
      <c r="E14" s="48">
        <v>15000</v>
      </c>
    </row>
    <row r="15" spans="1:5" x14ac:dyDescent="0.2">
      <c r="A15" s="7">
        <v>9</v>
      </c>
      <c r="B15" s="8" t="s">
        <v>17</v>
      </c>
      <c r="C15" s="10">
        <v>0</v>
      </c>
      <c r="D15" s="9">
        <f>'[1]budget detail FY21 Mar21'!F18</f>
        <v>7500</v>
      </c>
      <c r="E15" s="48">
        <v>7500</v>
      </c>
    </row>
    <row r="16" spans="1:5" x14ac:dyDescent="0.2">
      <c r="A16" s="117" t="s">
        <v>18</v>
      </c>
      <c r="B16" s="117"/>
      <c r="C16" s="117"/>
      <c r="D16" s="117"/>
      <c r="E16" s="117"/>
    </row>
    <row r="17" spans="1:5" x14ac:dyDescent="0.2">
      <c r="A17" s="11">
        <v>10</v>
      </c>
      <c r="B17" s="12" t="s">
        <v>19</v>
      </c>
      <c r="C17" s="13">
        <v>100000</v>
      </c>
      <c r="D17" s="14">
        <f>'[1]budget detail FY21 Mar21'!F21+'[1]budget detail FY21 Mar21'!F22</f>
        <v>100000</v>
      </c>
      <c r="E17" s="48">
        <v>100000</v>
      </c>
    </row>
    <row r="18" spans="1:5" x14ac:dyDescent="0.2">
      <c r="A18" s="11">
        <v>10</v>
      </c>
      <c r="B18" s="12" t="s">
        <v>20</v>
      </c>
      <c r="C18" s="13">
        <v>7000</v>
      </c>
      <c r="D18" s="14">
        <f>'[1]budget detail FY21 Mar21'!F24</f>
        <v>5000</v>
      </c>
      <c r="E18" s="48">
        <v>10000</v>
      </c>
    </row>
    <row r="19" spans="1:5" x14ac:dyDescent="0.2">
      <c r="A19" s="11">
        <v>11</v>
      </c>
      <c r="B19" s="12" t="s">
        <v>21</v>
      </c>
      <c r="C19" s="13">
        <f>25000+1500+2500</f>
        <v>29000</v>
      </c>
      <c r="D19" s="14">
        <f>'[1]budget detail FY21 Mar21'!F27</f>
        <v>4300</v>
      </c>
      <c r="E19" s="48">
        <v>5000</v>
      </c>
    </row>
    <row r="20" spans="1:5" x14ac:dyDescent="0.2">
      <c r="A20" s="11">
        <v>11</v>
      </c>
      <c r="B20" s="12" t="s">
        <v>22</v>
      </c>
      <c r="C20" s="13">
        <v>0</v>
      </c>
      <c r="D20" s="14">
        <f>'[1]budget detail FY21 Mar21'!F28</f>
        <v>0</v>
      </c>
      <c r="E20" s="48">
        <v>10000</v>
      </c>
    </row>
    <row r="21" spans="1:5" x14ac:dyDescent="0.2">
      <c r="A21" s="113" t="s">
        <v>23</v>
      </c>
      <c r="B21" s="113"/>
      <c r="C21" s="113"/>
      <c r="D21" s="113"/>
      <c r="E21" s="113"/>
    </row>
    <row r="22" spans="1:5" x14ac:dyDescent="0.2">
      <c r="A22" s="15">
        <v>12</v>
      </c>
      <c r="B22" s="16" t="s">
        <v>24</v>
      </c>
      <c r="C22" s="6">
        <v>115000</v>
      </c>
      <c r="D22" s="4">
        <f>'[1]budget detail FY21 Mar21'!F31</f>
        <v>115350</v>
      </c>
      <c r="E22" s="48">
        <v>115000</v>
      </c>
    </row>
    <row r="23" spans="1:5" x14ac:dyDescent="0.2">
      <c r="A23" s="15">
        <v>13</v>
      </c>
      <c r="B23" s="16" t="s">
        <v>25</v>
      </c>
      <c r="C23" s="6">
        <v>200000</v>
      </c>
      <c r="D23" s="4">
        <f>'[1]budget detail FY21 Mar21'!F32</f>
        <v>186000</v>
      </c>
      <c r="E23" s="48">
        <v>205000</v>
      </c>
    </row>
    <row r="24" spans="1:5" x14ac:dyDescent="0.2">
      <c r="A24" s="15">
        <v>14</v>
      </c>
      <c r="B24" s="16" t="s">
        <v>26</v>
      </c>
      <c r="C24" s="6">
        <v>33000</v>
      </c>
      <c r="D24" s="4">
        <f>'[1]budget detail FY21 Mar21'!F33</f>
        <v>33900</v>
      </c>
      <c r="E24" s="48">
        <v>34000</v>
      </c>
    </row>
    <row r="25" spans="1:5" x14ac:dyDescent="0.2">
      <c r="A25" s="15">
        <v>15</v>
      </c>
      <c r="B25" s="16" t="s">
        <v>27</v>
      </c>
      <c r="C25" s="6"/>
      <c r="D25" s="4">
        <f>'[1]budget detail FY21 Mar21'!F37</f>
        <v>6280</v>
      </c>
      <c r="E25" s="48">
        <v>5000</v>
      </c>
    </row>
    <row r="26" spans="1:5" x14ac:dyDescent="0.2">
      <c r="A26" s="15">
        <v>15</v>
      </c>
      <c r="B26" s="16" t="s">
        <v>28</v>
      </c>
      <c r="C26" s="6"/>
      <c r="D26" s="4">
        <f>'[1]budget detail FY21 Mar21'!F38</f>
        <v>3000</v>
      </c>
      <c r="E26" s="48">
        <v>12000</v>
      </c>
    </row>
    <row r="27" spans="1:5" x14ac:dyDescent="0.2">
      <c r="A27" s="15">
        <v>15</v>
      </c>
      <c r="B27" s="4" t="s">
        <v>29</v>
      </c>
      <c r="C27" s="6">
        <v>12500</v>
      </c>
      <c r="D27" s="4">
        <v>12500</v>
      </c>
      <c r="E27" s="6">
        <v>0</v>
      </c>
    </row>
    <row r="28" spans="1:5" x14ac:dyDescent="0.2">
      <c r="A28" s="113" t="s">
        <v>30</v>
      </c>
      <c r="B28" s="113"/>
      <c r="C28" s="113"/>
      <c r="D28" s="113"/>
      <c r="E28" s="113"/>
    </row>
    <row r="29" spans="1:5" x14ac:dyDescent="0.2">
      <c r="A29" s="15">
        <v>16</v>
      </c>
      <c r="B29" s="16" t="s">
        <v>31</v>
      </c>
      <c r="C29" s="6">
        <v>110000</v>
      </c>
      <c r="D29" s="4">
        <f>'[1]budget detail FY21 Mar21'!F41</f>
        <v>125000</v>
      </c>
      <c r="E29" s="48">
        <v>125000</v>
      </c>
    </row>
    <row r="30" spans="1:5" x14ac:dyDescent="0.2">
      <c r="A30" s="15">
        <v>17</v>
      </c>
      <c r="B30" s="16" t="s">
        <v>32</v>
      </c>
      <c r="C30" s="6">
        <v>62000</v>
      </c>
      <c r="D30" s="4">
        <f>'[1]budget detail FY21 Mar21'!F42</f>
        <v>55000</v>
      </c>
      <c r="E30" s="48">
        <v>55000</v>
      </c>
    </row>
    <row r="31" spans="1:5" x14ac:dyDescent="0.2">
      <c r="A31" s="15">
        <v>18</v>
      </c>
      <c r="B31" s="16" t="s">
        <v>33</v>
      </c>
      <c r="C31" s="6">
        <v>35000</v>
      </c>
      <c r="D31" s="4">
        <f>'[1]budget detail FY21 Mar21'!F43</f>
        <v>37350</v>
      </c>
      <c r="E31" s="48">
        <f>55000+10000</f>
        <v>65000</v>
      </c>
    </row>
    <row r="32" spans="1:5" x14ac:dyDescent="0.2">
      <c r="A32" s="15">
        <v>19</v>
      </c>
      <c r="B32" s="16" t="s">
        <v>34</v>
      </c>
      <c r="C32" s="6">
        <v>13000</v>
      </c>
      <c r="D32" s="4">
        <f>'[1]budget detail FY21 Mar21'!F44+'[1]budget detail FY21 Mar21'!F45</f>
        <v>14880</v>
      </c>
      <c r="E32" s="48">
        <v>15000</v>
      </c>
    </row>
    <row r="33" spans="1:5" x14ac:dyDescent="0.2">
      <c r="A33" s="113" t="s">
        <v>35</v>
      </c>
      <c r="B33" s="113"/>
      <c r="C33" s="113"/>
      <c r="D33" s="113"/>
      <c r="E33" s="113"/>
    </row>
    <row r="34" spans="1:5" x14ac:dyDescent="0.2">
      <c r="A34" s="7">
        <v>20</v>
      </c>
      <c r="B34" s="8" t="s">
        <v>36</v>
      </c>
      <c r="C34" s="9">
        <v>1000</v>
      </c>
      <c r="D34" s="9">
        <f>'[1]budget detail FY21 Mar21'!F47</f>
        <v>1500</v>
      </c>
      <c r="E34" s="49">
        <v>1000</v>
      </c>
    </row>
    <row r="35" spans="1:5" x14ac:dyDescent="0.2">
      <c r="A35" s="7">
        <v>21</v>
      </c>
      <c r="B35" s="8" t="s">
        <v>37</v>
      </c>
      <c r="C35" s="9">
        <v>125000</v>
      </c>
      <c r="D35" s="9">
        <f>'[1]budget detail FY21 Mar21'!F48</f>
        <v>95000</v>
      </c>
      <c r="E35" s="49">
        <v>150000</v>
      </c>
    </row>
    <row r="36" spans="1:5" x14ac:dyDescent="0.2">
      <c r="A36" s="17">
        <v>22</v>
      </c>
      <c r="B36" s="8" t="s">
        <v>38</v>
      </c>
      <c r="C36" s="9"/>
      <c r="D36" s="9">
        <f>'[1]budget detail FY21 Mar21'!F55+'[1]budget detail FY21 Mar21'!F56</f>
        <v>250000</v>
      </c>
      <c r="E36" s="49">
        <v>50000</v>
      </c>
    </row>
    <row r="37" spans="1:5" x14ac:dyDescent="0.2">
      <c r="A37" s="17">
        <v>23</v>
      </c>
      <c r="B37" s="18" t="s">
        <v>39</v>
      </c>
      <c r="C37" s="19">
        <v>20000</v>
      </c>
      <c r="D37" s="20">
        <f>'[1]budget detail FY21 Mar21'!F49+'[1]budget detail FY21 Mar21'!F50+'[1]budget detail FY21 Mar21'!F51</f>
        <v>12190</v>
      </c>
      <c r="E37" s="48">
        <f>15000+20000</f>
        <v>35000</v>
      </c>
    </row>
    <row r="38" spans="1:5" x14ac:dyDescent="0.2">
      <c r="A38" s="15">
        <v>24</v>
      </c>
      <c r="B38" s="16" t="s">
        <v>40</v>
      </c>
      <c r="C38" s="6">
        <v>5000</v>
      </c>
      <c r="D38" s="4">
        <f>'[1]budget detail FY21 Mar21'!F54</f>
        <v>50</v>
      </c>
      <c r="E38" s="48">
        <v>5000</v>
      </c>
    </row>
    <row r="39" spans="1:5" x14ac:dyDescent="0.2">
      <c r="A39" s="15">
        <v>25</v>
      </c>
      <c r="B39" s="16" t="s">
        <v>41</v>
      </c>
      <c r="C39" s="21">
        <v>65000</v>
      </c>
      <c r="D39" s="22">
        <f>'[1]budget detail FY21 Mar21'!F58</f>
        <v>0</v>
      </c>
      <c r="E39" s="48">
        <v>50000</v>
      </c>
    </row>
    <row r="40" spans="1:5" x14ac:dyDescent="0.2">
      <c r="A40" s="15">
        <v>26</v>
      </c>
      <c r="B40" s="16" t="s">
        <v>42</v>
      </c>
      <c r="C40" s="6">
        <v>15000</v>
      </c>
      <c r="D40" s="4">
        <f>'[1]budget detail FY21 Mar21'!F59</f>
        <v>15000</v>
      </c>
      <c r="E40" s="48">
        <v>15000</v>
      </c>
    </row>
    <row r="41" spans="1:5" x14ac:dyDescent="0.2">
      <c r="A41" s="15">
        <v>27</v>
      </c>
      <c r="B41" s="16" t="s">
        <v>43</v>
      </c>
      <c r="C41" s="6"/>
      <c r="D41" s="4">
        <f>'[1]budget detail FY21 Mar21'!F57</f>
        <v>118700</v>
      </c>
      <c r="E41" s="6">
        <v>0</v>
      </c>
    </row>
    <row r="42" spans="1:5" x14ac:dyDescent="0.2">
      <c r="A42" s="7">
        <v>28</v>
      </c>
      <c r="B42" s="8" t="s">
        <v>44</v>
      </c>
      <c r="C42" s="20">
        <v>35000</v>
      </c>
      <c r="D42" s="20">
        <f>'[1]budget detail FY21 Mar21'!F61</f>
        <v>35000</v>
      </c>
      <c r="E42" s="49">
        <v>35000</v>
      </c>
    </row>
    <row r="43" spans="1:5" ht="17" thickBot="1" x14ac:dyDescent="0.25">
      <c r="A43" s="23">
        <v>28</v>
      </c>
      <c r="B43" s="24" t="s">
        <v>45</v>
      </c>
      <c r="C43" s="25">
        <v>5000</v>
      </c>
      <c r="D43" s="25">
        <f>'[1]budget detail FY21 Mar21'!F62</f>
        <v>1000</v>
      </c>
      <c r="E43" s="51">
        <v>1000</v>
      </c>
    </row>
    <row r="44" spans="1:5" x14ac:dyDescent="0.2">
      <c r="A44" s="118" t="s">
        <v>46</v>
      </c>
      <c r="B44" s="118"/>
      <c r="C44" s="26">
        <f>SUM(C4:C43)</f>
        <v>1454500</v>
      </c>
      <c r="D44" s="26">
        <f>SUM(D4:D43)</f>
        <v>1614750</v>
      </c>
      <c r="E44" s="26">
        <f>SUM(E4:E43)</f>
        <v>1639500</v>
      </c>
    </row>
    <row r="45" spans="1:5" x14ac:dyDescent="0.2">
      <c r="A45" s="119"/>
      <c r="B45" s="119"/>
      <c r="C45" s="119"/>
      <c r="D45" s="119"/>
      <c r="E45" s="119"/>
    </row>
    <row r="46" spans="1:5" x14ac:dyDescent="0.2">
      <c r="A46" s="115" t="s">
        <v>47</v>
      </c>
      <c r="B46" s="115"/>
      <c r="C46" s="1" t="s">
        <v>2</v>
      </c>
      <c r="D46" s="2" t="s">
        <v>3</v>
      </c>
      <c r="E46" s="2" t="s">
        <v>4</v>
      </c>
    </row>
    <row r="47" spans="1:5" x14ac:dyDescent="0.2">
      <c r="A47" s="113" t="s">
        <v>5</v>
      </c>
      <c r="B47" s="113"/>
      <c r="C47" s="113"/>
      <c r="D47" s="113"/>
      <c r="E47" s="113"/>
    </row>
    <row r="48" spans="1:5" x14ac:dyDescent="0.2">
      <c r="A48" s="15" t="s">
        <v>48</v>
      </c>
      <c r="B48" s="16" t="s">
        <v>49</v>
      </c>
      <c r="C48" s="4">
        <v>147000</v>
      </c>
      <c r="D48" s="4">
        <f>'[1]budget detail FY21 Mar21'!F69+'[1]budget detail FY21 Mar21'!F70+'[1]budget detail FY21 Mar21'!F71</f>
        <v>49420</v>
      </c>
      <c r="E48" s="61">
        <v>125000</v>
      </c>
    </row>
    <row r="49" spans="1:5" x14ac:dyDescent="0.2">
      <c r="A49" s="15" t="s">
        <v>50</v>
      </c>
      <c r="B49" s="16" t="s">
        <v>51</v>
      </c>
      <c r="C49" s="4">
        <v>15000</v>
      </c>
      <c r="D49" s="4">
        <f>'[1]budget detail FY21 Mar21'!F73</f>
        <v>1000</v>
      </c>
      <c r="E49" s="61">
        <v>5000</v>
      </c>
    </row>
    <row r="50" spans="1:5" x14ac:dyDescent="0.2">
      <c r="A50" s="113" t="s">
        <v>52</v>
      </c>
      <c r="B50" s="113"/>
      <c r="C50" s="113"/>
      <c r="D50" s="113"/>
      <c r="E50" s="113"/>
    </row>
    <row r="51" spans="1:5" x14ac:dyDescent="0.2">
      <c r="A51" s="7" t="s">
        <v>53</v>
      </c>
      <c r="B51" s="8" t="s">
        <v>9</v>
      </c>
      <c r="C51" s="9">
        <f t="shared" ref="C51:C57" si="0">C7</f>
        <v>60000</v>
      </c>
      <c r="D51" s="9">
        <f>'[1]budget detail FY21 Mar21'!F76</f>
        <v>52000</v>
      </c>
      <c r="E51" s="62">
        <f t="shared" ref="E51:E56" si="1">E7</f>
        <v>60000</v>
      </c>
    </row>
    <row r="52" spans="1:5" x14ac:dyDescent="0.2">
      <c r="A52" s="7" t="s">
        <v>54</v>
      </c>
      <c r="B52" s="8" t="s">
        <v>10</v>
      </c>
      <c r="C52" s="9">
        <f t="shared" si="0"/>
        <v>10000</v>
      </c>
      <c r="D52" s="9">
        <f>'[1]budget detail FY21 Mar21'!F77</f>
        <v>5300</v>
      </c>
      <c r="E52" s="62">
        <f t="shared" si="1"/>
        <v>7500</v>
      </c>
    </row>
    <row r="53" spans="1:5" x14ac:dyDescent="0.2">
      <c r="A53" s="7" t="s">
        <v>55</v>
      </c>
      <c r="B53" s="8" t="s">
        <v>11</v>
      </c>
      <c r="C53" s="9">
        <f t="shared" si="0"/>
        <v>25000</v>
      </c>
      <c r="D53" s="9">
        <f>'[1]budget detail FY21 Mar21'!F78</f>
        <v>22500</v>
      </c>
      <c r="E53" s="62">
        <f t="shared" si="1"/>
        <v>30000</v>
      </c>
    </row>
    <row r="54" spans="1:5" x14ac:dyDescent="0.2">
      <c r="A54" s="7" t="s">
        <v>56</v>
      </c>
      <c r="B54" s="8" t="s">
        <v>12</v>
      </c>
      <c r="C54" s="9">
        <f t="shared" si="0"/>
        <v>10000</v>
      </c>
      <c r="D54" s="9">
        <f>'[1]budget detail FY21 Mar21'!F79</f>
        <v>106000</v>
      </c>
      <c r="E54" s="62">
        <f t="shared" si="1"/>
        <v>100000</v>
      </c>
    </row>
    <row r="55" spans="1:5" x14ac:dyDescent="0.2">
      <c r="A55" s="7" t="s">
        <v>57</v>
      </c>
      <c r="B55" s="8" t="s">
        <v>13</v>
      </c>
      <c r="C55" s="9">
        <f t="shared" si="0"/>
        <v>11000</v>
      </c>
      <c r="D55" s="9">
        <f>'[1]budget detail FY21 Mar21'!F80</f>
        <v>0</v>
      </c>
      <c r="E55" s="62">
        <f t="shared" si="1"/>
        <v>11000</v>
      </c>
    </row>
    <row r="56" spans="1:5" x14ac:dyDescent="0.2">
      <c r="A56" s="7" t="s">
        <v>58</v>
      </c>
      <c r="B56" s="8" t="s">
        <v>14</v>
      </c>
      <c r="C56" s="9">
        <f t="shared" si="0"/>
        <v>7000</v>
      </c>
      <c r="D56" s="9">
        <f>'[1]budget detail FY21 Mar21'!F81</f>
        <v>3700</v>
      </c>
      <c r="E56" s="62">
        <f t="shared" si="1"/>
        <v>5000</v>
      </c>
    </row>
    <row r="57" spans="1:5" x14ac:dyDescent="0.2">
      <c r="A57" s="7" t="s">
        <v>59</v>
      </c>
      <c r="B57" s="8" t="s">
        <v>60</v>
      </c>
      <c r="C57" s="9">
        <f t="shared" si="0"/>
        <v>19000</v>
      </c>
      <c r="D57" s="9">
        <f>'[1]budget detail FY21 Mar21'!F82</f>
        <v>21500</v>
      </c>
      <c r="E57" s="62">
        <f t="shared" ref="E57" si="2">E15</f>
        <v>7500</v>
      </c>
    </row>
    <row r="58" spans="1:5" x14ac:dyDescent="0.2">
      <c r="A58" s="7" t="s">
        <v>59</v>
      </c>
      <c r="B58" s="8" t="s">
        <v>61</v>
      </c>
      <c r="C58" s="9"/>
      <c r="D58" s="9">
        <f>'[1]budget detail FY21 Mar21'!F83</f>
        <v>0</v>
      </c>
      <c r="E58" s="62">
        <f>E14</f>
        <v>15000</v>
      </c>
    </row>
    <row r="59" spans="1:5" x14ac:dyDescent="0.2">
      <c r="A59" s="15">
        <v>29</v>
      </c>
      <c r="B59" s="16" t="s">
        <v>62</v>
      </c>
      <c r="C59" s="4">
        <v>15000</v>
      </c>
      <c r="D59" s="4">
        <f>'[1]budget detail FY21 Mar21'!F84</f>
        <v>11500</v>
      </c>
      <c r="E59" s="61">
        <v>15000</v>
      </c>
    </row>
    <row r="60" spans="1:5" x14ac:dyDescent="0.2">
      <c r="A60" s="15">
        <v>30</v>
      </c>
      <c r="B60" s="16" t="s">
        <v>63</v>
      </c>
      <c r="C60" s="4">
        <f>1000+2000</f>
        <v>3000</v>
      </c>
      <c r="D60" s="4">
        <f>'[1]budget detail FY21 Mar21'!E86</f>
        <v>0</v>
      </c>
      <c r="E60" s="61">
        <v>3000</v>
      </c>
    </row>
    <row r="61" spans="1:5" x14ac:dyDescent="0.2">
      <c r="A61" s="15">
        <v>31</v>
      </c>
      <c r="B61" s="16" t="s">
        <v>64</v>
      </c>
      <c r="C61" s="4">
        <v>2500</v>
      </c>
      <c r="D61" s="4">
        <f>'[1]budget detail FY21 Mar21'!F87</f>
        <v>1000</v>
      </c>
      <c r="E61" s="61">
        <v>2000</v>
      </c>
    </row>
    <row r="62" spans="1:5" x14ac:dyDescent="0.2">
      <c r="A62" s="15">
        <v>32</v>
      </c>
      <c r="B62" s="16" t="s">
        <v>65</v>
      </c>
      <c r="C62" s="4">
        <v>3000</v>
      </c>
      <c r="D62" s="4">
        <f>'[1]budget detail FY21 Mar21'!F88</f>
        <v>3000</v>
      </c>
      <c r="E62" s="61">
        <v>3000</v>
      </c>
    </row>
    <row r="63" spans="1:5" x14ac:dyDescent="0.2">
      <c r="A63" s="15">
        <v>33</v>
      </c>
      <c r="B63" s="16" t="s">
        <v>66</v>
      </c>
      <c r="C63" s="4">
        <v>0</v>
      </c>
      <c r="D63" s="4">
        <f>'[1]budget detail FY21 Mar21'!F94</f>
        <v>15000</v>
      </c>
      <c r="E63" s="61">
        <v>15000</v>
      </c>
    </row>
    <row r="64" spans="1:5" x14ac:dyDescent="0.2">
      <c r="A64" s="17">
        <v>23</v>
      </c>
      <c r="B64" s="18" t="s">
        <v>67</v>
      </c>
      <c r="C64" s="20">
        <v>20000</v>
      </c>
      <c r="D64" s="20">
        <f>SUM('[1]budget detail FY21 Mar21'!F90:F93)</f>
        <v>700</v>
      </c>
      <c r="E64" s="61">
        <f>E37-E63</f>
        <v>20000</v>
      </c>
    </row>
    <row r="65" spans="1:5" x14ac:dyDescent="0.2">
      <c r="A65" s="17">
        <v>22</v>
      </c>
      <c r="B65" s="18" t="s">
        <v>68</v>
      </c>
      <c r="C65" s="20">
        <v>0</v>
      </c>
      <c r="D65" s="20">
        <f>'[1]budget detail FY21 Mar21'!F89+'[1]budget detail FY21 Mar21'!F126</f>
        <v>250000</v>
      </c>
      <c r="E65" s="61">
        <f>E36</f>
        <v>50000</v>
      </c>
    </row>
    <row r="66" spans="1:5" x14ac:dyDescent="0.2">
      <c r="A66" s="113" t="s">
        <v>69</v>
      </c>
      <c r="B66" s="113"/>
      <c r="C66" s="113"/>
      <c r="D66" s="113"/>
      <c r="E66" s="113"/>
    </row>
    <row r="67" spans="1:5" x14ac:dyDescent="0.2">
      <c r="A67" s="15">
        <v>34</v>
      </c>
      <c r="B67" s="16" t="s">
        <v>70</v>
      </c>
      <c r="C67" s="4">
        <v>52500</v>
      </c>
      <c r="D67" s="4">
        <f>SUM('[1]budget detail FY21 Mar21'!F98:F101)</f>
        <v>52000</v>
      </c>
      <c r="E67" s="61">
        <v>52500</v>
      </c>
    </row>
    <row r="68" spans="1:5" x14ac:dyDescent="0.2">
      <c r="A68" s="15">
        <v>35</v>
      </c>
      <c r="B68" s="16" t="s">
        <v>71</v>
      </c>
      <c r="C68" s="4">
        <v>32500</v>
      </c>
      <c r="D68" s="4">
        <f>'[1]budget detail FY21 Mar21'!F104+'[1]budget detail FY21 Mar21'!F105</f>
        <v>35000</v>
      </c>
      <c r="E68" s="61">
        <v>35000</v>
      </c>
    </row>
    <row r="69" spans="1:5" x14ac:dyDescent="0.2">
      <c r="A69" s="15">
        <v>36</v>
      </c>
      <c r="B69" s="16" t="s">
        <v>72</v>
      </c>
      <c r="C69" s="4"/>
      <c r="D69" s="4">
        <f>'[1]budget detail FY21 Mar21'!F129</f>
        <v>22500</v>
      </c>
      <c r="E69" s="61">
        <v>15000</v>
      </c>
    </row>
    <row r="70" spans="1:5" s="27" customFormat="1" ht="13" x14ac:dyDescent="0.15">
      <c r="A70" s="15" t="s">
        <v>73</v>
      </c>
      <c r="B70" s="16" t="s">
        <v>74</v>
      </c>
      <c r="C70" s="4">
        <v>12500</v>
      </c>
      <c r="D70" s="4">
        <f>'[1]budget detail FY21 Mar21'!F130</f>
        <v>12500</v>
      </c>
      <c r="E70" s="5">
        <v>0</v>
      </c>
    </row>
    <row r="71" spans="1:5" x14ac:dyDescent="0.2">
      <c r="A71" s="120" t="s">
        <v>75</v>
      </c>
      <c r="B71" s="120"/>
      <c r="C71" s="120"/>
      <c r="D71" s="120"/>
      <c r="E71" s="120"/>
    </row>
    <row r="72" spans="1:5" x14ac:dyDescent="0.2">
      <c r="A72" s="11" t="s">
        <v>76</v>
      </c>
      <c r="B72" s="12" t="s">
        <v>77</v>
      </c>
      <c r="C72" s="14">
        <v>83000</v>
      </c>
      <c r="D72" s="14">
        <f>SUM('[1]budget detail FY21 Mar21'!F108:F113)</f>
        <v>96350</v>
      </c>
      <c r="E72" s="62">
        <f>E17*0.83</f>
        <v>83000</v>
      </c>
    </row>
    <row r="73" spans="1:5" x14ac:dyDescent="0.2">
      <c r="A73" s="11" t="s">
        <v>76</v>
      </c>
      <c r="B73" s="12" t="s">
        <v>78</v>
      </c>
      <c r="C73" s="14">
        <v>7000</v>
      </c>
      <c r="D73" s="14">
        <f>'[1]budget detail FY21 Mar21'!F115</f>
        <v>5000</v>
      </c>
      <c r="E73" s="62">
        <f>E18</f>
        <v>10000</v>
      </c>
    </row>
    <row r="74" spans="1:5" x14ac:dyDescent="0.2">
      <c r="A74" s="11" t="s">
        <v>79</v>
      </c>
      <c r="B74" s="12" t="s">
        <v>80</v>
      </c>
      <c r="C74" s="14">
        <f>16500+10000+1500</f>
        <v>28000</v>
      </c>
      <c r="D74" s="14">
        <f>SUM('[1]budget detail FY21 Mar21'!F117:F124)</f>
        <v>2900</v>
      </c>
      <c r="E74" s="62">
        <f>E19</f>
        <v>5000</v>
      </c>
    </row>
    <row r="75" spans="1:5" x14ac:dyDescent="0.2">
      <c r="A75" s="11" t="s">
        <v>79</v>
      </c>
      <c r="B75" s="12" t="s">
        <v>81</v>
      </c>
      <c r="C75" s="14"/>
      <c r="D75" s="14">
        <f>'[1]budget detail FY21 Mar21'!F125</f>
        <v>4300</v>
      </c>
      <c r="E75" s="62">
        <f>E20</f>
        <v>10000</v>
      </c>
    </row>
    <row r="76" spans="1:5" x14ac:dyDescent="0.2">
      <c r="A76" s="7" t="s">
        <v>82</v>
      </c>
      <c r="B76" s="8" t="s">
        <v>83</v>
      </c>
      <c r="C76" s="9">
        <v>125000</v>
      </c>
      <c r="D76" s="9">
        <f>'[1]budget detail FY21 Mar21'!F134</f>
        <v>95000</v>
      </c>
      <c r="E76" s="62">
        <f>E35</f>
        <v>150000</v>
      </c>
    </row>
    <row r="77" spans="1:5" x14ac:dyDescent="0.2">
      <c r="A77" s="7" t="s">
        <v>84</v>
      </c>
      <c r="B77" s="8" t="s">
        <v>85</v>
      </c>
      <c r="C77" s="9">
        <v>1000</v>
      </c>
      <c r="D77" s="9">
        <f>'[1]budget detail FY21 Mar21'!F133</f>
        <v>1500</v>
      </c>
      <c r="E77" s="62">
        <f>E34</f>
        <v>1000</v>
      </c>
    </row>
    <row r="78" spans="1:5" x14ac:dyDescent="0.2">
      <c r="A78" s="113" t="s">
        <v>86</v>
      </c>
      <c r="B78" s="113"/>
      <c r="C78" s="113"/>
      <c r="D78" s="113"/>
      <c r="E78" s="113"/>
    </row>
    <row r="79" spans="1:5" x14ac:dyDescent="0.2">
      <c r="A79" s="15">
        <v>37</v>
      </c>
      <c r="B79" s="16" t="s">
        <v>87</v>
      </c>
      <c r="C79" s="4">
        <v>591000</v>
      </c>
      <c r="D79" s="4">
        <f>'[1]budget detail FY21 Mar21'!F137</f>
        <v>600315.29999999993</v>
      </c>
      <c r="E79" s="61">
        <v>630500</v>
      </c>
    </row>
    <row r="80" spans="1:5" x14ac:dyDescent="0.2">
      <c r="A80" s="15">
        <v>38</v>
      </c>
      <c r="B80" s="16" t="s">
        <v>88</v>
      </c>
      <c r="C80" s="4">
        <v>13500</v>
      </c>
      <c r="D80" s="4">
        <f>'[1]budget detail FY21 Mar21'!F138</f>
        <v>15000</v>
      </c>
      <c r="E80" s="61">
        <v>15000</v>
      </c>
    </row>
    <row r="81" spans="1:5" x14ac:dyDescent="0.2">
      <c r="A81" s="15">
        <v>38</v>
      </c>
      <c r="B81" s="16" t="s">
        <v>89</v>
      </c>
      <c r="C81" s="4">
        <f>15000+7500</f>
        <v>22500</v>
      </c>
      <c r="D81" s="4">
        <f>'[1]budget detail FY21 Mar21'!F139+'[1]budget detail FY21 Mar21'!F140+'[1]budget detail FY21 Mar21'!F141</f>
        <v>9500</v>
      </c>
      <c r="E81" s="61">
        <v>10000</v>
      </c>
    </row>
    <row r="82" spans="1:5" x14ac:dyDescent="0.2">
      <c r="A82" s="15">
        <v>38</v>
      </c>
      <c r="B82" s="16" t="s">
        <v>90</v>
      </c>
      <c r="C82" s="4">
        <v>9000</v>
      </c>
      <c r="D82" s="4">
        <f>'[1]budget detail FY21 Mar21'!F142</f>
        <v>12500</v>
      </c>
      <c r="E82" s="61">
        <v>13000</v>
      </c>
    </row>
    <row r="83" spans="1:5" x14ac:dyDescent="0.2">
      <c r="A83" s="15">
        <v>39</v>
      </c>
      <c r="B83" s="16" t="s">
        <v>91</v>
      </c>
      <c r="C83" s="4">
        <v>9000</v>
      </c>
      <c r="D83" s="4">
        <f>'[1]budget detail FY21 Mar21'!F143</f>
        <v>0</v>
      </c>
      <c r="E83" s="61">
        <v>0</v>
      </c>
    </row>
    <row r="84" spans="1:5" x14ac:dyDescent="0.2">
      <c r="A84" s="15">
        <v>40</v>
      </c>
      <c r="B84" s="16" t="s">
        <v>92</v>
      </c>
      <c r="C84" s="4">
        <v>15500</v>
      </c>
      <c r="D84" s="4">
        <f>'[1]budget detail FY21 Mar21'!F144</f>
        <v>15000</v>
      </c>
      <c r="E84" s="61">
        <v>16000</v>
      </c>
    </row>
    <row r="85" spans="1:5" x14ac:dyDescent="0.2">
      <c r="A85" s="15">
        <v>41</v>
      </c>
      <c r="B85" s="16" t="s">
        <v>93</v>
      </c>
      <c r="C85" s="4">
        <v>25000</v>
      </c>
      <c r="D85" s="4">
        <f>'[1]budget detail FY21 Mar21'!F145</f>
        <v>32000</v>
      </c>
      <c r="E85" s="61">
        <f>20000+(1500*12)</f>
        <v>38000</v>
      </c>
    </row>
    <row r="86" spans="1:5" x14ac:dyDescent="0.2">
      <c r="A86" s="15">
        <v>42</v>
      </c>
      <c r="B86" s="16" t="s">
        <v>94</v>
      </c>
      <c r="C86" s="4">
        <v>2500</v>
      </c>
      <c r="D86" s="4">
        <f>'[1]budget detail FY21 Mar21'!F146</f>
        <v>10000</v>
      </c>
      <c r="E86" s="61">
        <v>10000</v>
      </c>
    </row>
    <row r="87" spans="1:5" x14ac:dyDescent="0.2">
      <c r="A87" s="15">
        <v>43</v>
      </c>
      <c r="B87" s="16" t="s">
        <v>95</v>
      </c>
      <c r="C87" s="4">
        <v>9000</v>
      </c>
      <c r="D87" s="4">
        <f>'[1]budget detail FY21 Mar21'!F147</f>
        <v>8000</v>
      </c>
      <c r="E87" s="61">
        <v>9000</v>
      </c>
    </row>
    <row r="88" spans="1:5" x14ac:dyDescent="0.2">
      <c r="A88" s="15">
        <v>44</v>
      </c>
      <c r="B88" s="16" t="s">
        <v>96</v>
      </c>
      <c r="C88" s="4">
        <v>5000</v>
      </c>
      <c r="D88" s="4">
        <f>'[1]budget detail FY21 Mar21'!F148</f>
        <v>2000</v>
      </c>
      <c r="E88" s="61">
        <v>5000</v>
      </c>
    </row>
    <row r="89" spans="1:5" x14ac:dyDescent="0.2">
      <c r="A89" s="15">
        <v>45</v>
      </c>
      <c r="B89" s="16" t="s">
        <v>97</v>
      </c>
      <c r="C89" s="4">
        <v>7000</v>
      </c>
      <c r="D89" s="4">
        <f>'[1]budget detail FY21 Mar21'!F149</f>
        <v>5000</v>
      </c>
      <c r="E89" s="61">
        <v>7000</v>
      </c>
    </row>
    <row r="90" spans="1:5" x14ac:dyDescent="0.2">
      <c r="A90" s="15">
        <v>46</v>
      </c>
      <c r="B90" s="16" t="s">
        <v>98</v>
      </c>
      <c r="C90" s="4">
        <v>6500</v>
      </c>
      <c r="D90" s="4">
        <f>'[1]budget detail FY21 Mar21'!F150</f>
        <v>75</v>
      </c>
      <c r="E90" s="61">
        <v>6500</v>
      </c>
    </row>
    <row r="91" spans="1:5" x14ac:dyDescent="0.2">
      <c r="A91" s="17" t="s">
        <v>99</v>
      </c>
      <c r="B91" s="18" t="s">
        <v>100</v>
      </c>
      <c r="C91" s="20">
        <f>C42</f>
        <v>35000</v>
      </c>
      <c r="D91" s="20">
        <f>'[1]budget detail FY21 Mar21'!F151</f>
        <v>35000</v>
      </c>
      <c r="E91" s="62">
        <f>E42</f>
        <v>35000</v>
      </c>
    </row>
    <row r="92" spans="1:5" x14ac:dyDescent="0.2">
      <c r="A92" s="17" t="s">
        <v>99</v>
      </c>
      <c r="B92" s="18" t="s">
        <v>45</v>
      </c>
      <c r="C92" s="20">
        <f>C43</f>
        <v>5000</v>
      </c>
      <c r="D92" s="20">
        <f>'[1]budget detail FY21 Mar21'!F152</f>
        <v>1000</v>
      </c>
      <c r="E92" s="62">
        <f>E43</f>
        <v>1000</v>
      </c>
    </row>
    <row r="93" spans="1:5" ht="17" thickBot="1" x14ac:dyDescent="0.25">
      <c r="A93" s="28">
        <v>47</v>
      </c>
      <c r="B93" s="29" t="s">
        <v>101</v>
      </c>
      <c r="C93" s="30">
        <v>5000</v>
      </c>
      <c r="D93" s="30">
        <f>'[1]budget detail FY21 Mar21'!F153</f>
        <v>1250</v>
      </c>
      <c r="E93" s="63">
        <v>7500</v>
      </c>
    </row>
    <row r="94" spans="1:5" ht="17" thickBot="1" x14ac:dyDescent="0.25">
      <c r="A94" s="121" t="s">
        <v>102</v>
      </c>
      <c r="B94" s="121"/>
      <c r="C94" s="31">
        <f>SUM(C48:C93)</f>
        <v>1449500</v>
      </c>
      <c r="D94" s="31">
        <f>SUM(D48:D93)</f>
        <v>1616310.2999999998</v>
      </c>
      <c r="E94" s="31">
        <f>SUM(E48:E93)</f>
        <v>1639000</v>
      </c>
    </row>
    <row r="95" spans="1:5" x14ac:dyDescent="0.2">
      <c r="A95" s="122" t="s">
        <v>103</v>
      </c>
      <c r="B95" s="122"/>
      <c r="C95" s="32">
        <f>C44-C94</f>
        <v>5000</v>
      </c>
      <c r="D95" s="32">
        <f>D44-D94</f>
        <v>-1560.2999999998137</v>
      </c>
      <c r="E95" s="32">
        <f>E44-E94</f>
        <v>500</v>
      </c>
    </row>
    <row r="96" spans="1:5" ht="17" thickBot="1" x14ac:dyDescent="0.25">
      <c r="A96" s="28">
        <v>48</v>
      </c>
      <c r="B96" s="29" t="s">
        <v>104</v>
      </c>
      <c r="C96" s="30">
        <v>5000</v>
      </c>
      <c r="D96" s="30">
        <f>'[1]budget detail FY21 Mar21'!F154</f>
        <v>20824.226666666666</v>
      </c>
      <c r="E96" s="33"/>
    </row>
    <row r="97" spans="1:5" x14ac:dyDescent="0.2">
      <c r="A97" s="118" t="s">
        <v>105</v>
      </c>
      <c r="B97" s="118"/>
      <c r="C97" s="26">
        <f>C44-C94-C96</f>
        <v>0</v>
      </c>
      <c r="D97" s="26">
        <f>D44-D94-D96</f>
        <v>-22384.526666666479</v>
      </c>
      <c r="E97" s="26">
        <f>E44-E94-E96</f>
        <v>500</v>
      </c>
    </row>
  </sheetData>
  <mergeCells count="19">
    <mergeCell ref="A97:B97"/>
    <mergeCell ref="A50:E50"/>
    <mergeCell ref="A66:E66"/>
    <mergeCell ref="A71:E71"/>
    <mergeCell ref="A78:E78"/>
    <mergeCell ref="A94:B94"/>
    <mergeCell ref="A95:B95"/>
    <mergeCell ref="A47:E47"/>
    <mergeCell ref="A1:E1"/>
    <mergeCell ref="A2:B2"/>
    <mergeCell ref="A3:E3"/>
    <mergeCell ref="B6:E6"/>
    <mergeCell ref="A16:E16"/>
    <mergeCell ref="A21:E21"/>
    <mergeCell ref="A28:E28"/>
    <mergeCell ref="A33:E33"/>
    <mergeCell ref="A44:B44"/>
    <mergeCell ref="A45:E45"/>
    <mergeCell ref="A46:B4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6D93-7010-1D4E-918B-20F60E63BC39}">
  <dimension ref="A1:E396"/>
  <sheetViews>
    <sheetView topLeftCell="A105" zoomScale="150" zoomScaleNormal="150" workbookViewId="0">
      <selection activeCell="A116" sqref="A116"/>
    </sheetView>
  </sheetViews>
  <sheetFormatPr baseColWidth="10" defaultColWidth="8.83203125" defaultRowHeight="16" x14ac:dyDescent="0.2"/>
  <cols>
    <col min="1" max="1" width="47.1640625" bestFit="1" customWidth="1"/>
    <col min="2" max="2" width="11.5" bestFit="1" customWidth="1"/>
    <col min="4" max="4" width="38.33203125" bestFit="1" customWidth="1"/>
    <col min="5" max="5" width="37.5" bestFit="1" customWidth="1"/>
  </cols>
  <sheetData>
    <row r="1" spans="1:5" ht="18" x14ac:dyDescent="0.2">
      <c r="A1" s="123" t="s">
        <v>176</v>
      </c>
      <c r="B1" s="124"/>
    </row>
    <row r="2" spans="1:5" ht="18" x14ac:dyDescent="0.2">
      <c r="A2" s="123" t="s">
        <v>177</v>
      </c>
      <c r="B2" s="124"/>
    </row>
    <row r="3" spans="1:5" x14ac:dyDescent="0.2">
      <c r="A3" s="125" t="s">
        <v>178</v>
      </c>
      <c r="B3" s="124"/>
    </row>
    <row r="5" spans="1:5" x14ac:dyDescent="0.2">
      <c r="A5" s="42"/>
      <c r="B5" s="43" t="s">
        <v>179</v>
      </c>
      <c r="C5" s="68"/>
      <c r="D5" s="68" t="s">
        <v>592</v>
      </c>
    </row>
    <row r="6" spans="1:5" x14ac:dyDescent="0.2">
      <c r="A6" s="44" t="s">
        <v>180</v>
      </c>
      <c r="B6" s="45"/>
    </row>
    <row r="7" spans="1:5" x14ac:dyDescent="0.2">
      <c r="A7" s="44" t="s">
        <v>181</v>
      </c>
      <c r="B7" s="45"/>
    </row>
    <row r="8" spans="1:5" x14ac:dyDescent="0.2">
      <c r="A8" s="44" t="s">
        <v>182</v>
      </c>
      <c r="B8" s="64">
        <f>60000</f>
        <v>60000</v>
      </c>
      <c r="D8" s="37" t="s">
        <v>121</v>
      </c>
    </row>
    <row r="9" spans="1:5" x14ac:dyDescent="0.2">
      <c r="A9" s="44" t="s">
        <v>183</v>
      </c>
      <c r="B9" s="64">
        <f>457.83</f>
        <v>457.83</v>
      </c>
      <c r="D9" s="37" t="s">
        <v>129</v>
      </c>
    </row>
    <row r="10" spans="1:5" x14ac:dyDescent="0.2">
      <c r="A10" s="44" t="s">
        <v>184</v>
      </c>
      <c r="B10" s="64">
        <f>131</f>
        <v>131</v>
      </c>
      <c r="D10" s="37" t="s">
        <v>112</v>
      </c>
    </row>
    <row r="11" spans="1:5" x14ac:dyDescent="0.2">
      <c r="A11" s="44" t="s">
        <v>185</v>
      </c>
      <c r="B11" s="64">
        <f>310.6</f>
        <v>310.60000000000002</v>
      </c>
      <c r="D11" s="37" t="s">
        <v>113</v>
      </c>
    </row>
    <row r="12" spans="1:5" x14ac:dyDescent="0.2">
      <c r="A12" s="44" t="s">
        <v>186</v>
      </c>
      <c r="B12" s="64">
        <f>10894.03</f>
        <v>10894.03</v>
      </c>
      <c r="D12" s="37" t="s">
        <v>113</v>
      </c>
    </row>
    <row r="13" spans="1:5" x14ac:dyDescent="0.2">
      <c r="A13" s="44" t="s">
        <v>187</v>
      </c>
      <c r="B13" s="64">
        <f>1872</f>
        <v>1872</v>
      </c>
      <c r="D13" s="37" t="s">
        <v>128</v>
      </c>
      <c r="E13" s="37" t="s">
        <v>152</v>
      </c>
    </row>
    <row r="14" spans="1:5" x14ac:dyDescent="0.2">
      <c r="A14" s="44" t="s">
        <v>188</v>
      </c>
      <c r="B14" s="67">
        <f>((((((B7)+(B8))+(B9))+(B10))+(B11))+(B12))+(B13)</f>
        <v>73665.460000000006</v>
      </c>
    </row>
    <row r="15" spans="1:5" x14ac:dyDescent="0.2">
      <c r="A15" s="44" t="s">
        <v>189</v>
      </c>
      <c r="B15" s="64">
        <f>13130</f>
        <v>13130</v>
      </c>
      <c r="D15" s="37" t="s">
        <v>125</v>
      </c>
      <c r="E15" s="81"/>
    </row>
    <row r="16" spans="1:5" x14ac:dyDescent="0.2">
      <c r="A16" s="44" t="s">
        <v>190</v>
      </c>
      <c r="B16" s="45"/>
    </row>
    <row r="17" spans="1:5" x14ac:dyDescent="0.2">
      <c r="A17" s="44" t="s">
        <v>191</v>
      </c>
      <c r="B17" s="45"/>
    </row>
    <row r="18" spans="1:5" x14ac:dyDescent="0.2">
      <c r="A18" s="44" t="s">
        <v>192</v>
      </c>
      <c r="B18" s="45"/>
    </row>
    <row r="19" spans="1:5" x14ac:dyDescent="0.2">
      <c r="A19" s="44" t="s">
        <v>193</v>
      </c>
      <c r="B19" s="66">
        <f>2000</f>
        <v>2000</v>
      </c>
    </row>
    <row r="20" spans="1:5" x14ac:dyDescent="0.2">
      <c r="A20" s="44" t="s">
        <v>194</v>
      </c>
      <c r="B20" s="66">
        <f>5510</f>
        <v>5510</v>
      </c>
    </row>
    <row r="21" spans="1:5" x14ac:dyDescent="0.2">
      <c r="A21" s="44" t="s">
        <v>195</v>
      </c>
      <c r="B21" s="66">
        <f>2000</f>
        <v>2000</v>
      </c>
    </row>
    <row r="22" spans="1:5" x14ac:dyDescent="0.2">
      <c r="A22" s="44" t="s">
        <v>196</v>
      </c>
      <c r="B22" s="65">
        <f>(((B18)+(B19))+(B20))+(B21)</f>
        <v>9510</v>
      </c>
      <c r="D22" s="37" t="s">
        <v>134</v>
      </c>
      <c r="E22" s="37" t="s">
        <v>148</v>
      </c>
    </row>
    <row r="23" spans="1:5" x14ac:dyDescent="0.2">
      <c r="A23" s="44" t="s">
        <v>197</v>
      </c>
      <c r="B23" s="45"/>
    </row>
    <row r="24" spans="1:5" x14ac:dyDescent="0.2">
      <c r="A24" s="44" t="s">
        <v>198</v>
      </c>
      <c r="B24" s="66">
        <f>10000</f>
        <v>10000</v>
      </c>
    </row>
    <row r="25" spans="1:5" x14ac:dyDescent="0.2">
      <c r="A25" s="44" t="s">
        <v>199</v>
      </c>
      <c r="B25" s="66">
        <f>35100</f>
        <v>35100</v>
      </c>
    </row>
    <row r="26" spans="1:5" x14ac:dyDescent="0.2">
      <c r="A26" s="44" t="s">
        <v>200</v>
      </c>
      <c r="B26" s="66">
        <f>26620.28</f>
        <v>26620.28</v>
      </c>
    </row>
    <row r="27" spans="1:5" x14ac:dyDescent="0.2">
      <c r="A27" s="44" t="s">
        <v>201</v>
      </c>
      <c r="B27" s="66">
        <f>31000</f>
        <v>31000</v>
      </c>
    </row>
    <row r="28" spans="1:5" x14ac:dyDescent="0.2">
      <c r="A28" s="44" t="s">
        <v>202</v>
      </c>
      <c r="B28" s="66">
        <f>100000</f>
        <v>100000</v>
      </c>
    </row>
    <row r="29" spans="1:5" x14ac:dyDescent="0.2">
      <c r="A29" s="44" t="s">
        <v>203</v>
      </c>
      <c r="B29" s="65">
        <f>(((((B23)+(B24))+(B25))+(B26))+(B27))+(B28)</f>
        <v>202720.28</v>
      </c>
      <c r="D29" s="37" t="s">
        <v>130</v>
      </c>
      <c r="E29" s="37" t="s">
        <v>148</v>
      </c>
    </row>
    <row r="30" spans="1:5" x14ac:dyDescent="0.2">
      <c r="A30" s="44" t="s">
        <v>204</v>
      </c>
      <c r="B30" s="45"/>
    </row>
    <row r="31" spans="1:5" x14ac:dyDescent="0.2">
      <c r="A31" s="44" t="s">
        <v>205</v>
      </c>
      <c r="B31" s="66">
        <f>13785</f>
        <v>13785</v>
      </c>
    </row>
    <row r="32" spans="1:5" x14ac:dyDescent="0.2">
      <c r="A32" s="44" t="s">
        <v>206</v>
      </c>
      <c r="B32" s="66">
        <f>200000</f>
        <v>200000</v>
      </c>
    </row>
    <row r="33" spans="1:5" x14ac:dyDescent="0.2">
      <c r="A33" s="44" t="s">
        <v>207</v>
      </c>
      <c r="B33" s="65">
        <f>((B30)+(B31))+(B32)</f>
        <v>213785</v>
      </c>
      <c r="D33" s="37" t="s">
        <v>130</v>
      </c>
      <c r="E33" s="37" t="s">
        <v>153</v>
      </c>
    </row>
    <row r="34" spans="1:5" x14ac:dyDescent="0.2">
      <c r="A34" s="44" t="s">
        <v>208</v>
      </c>
      <c r="B34" s="45"/>
    </row>
    <row r="35" spans="1:5" x14ac:dyDescent="0.2">
      <c r="A35" s="44" t="s">
        <v>209</v>
      </c>
      <c r="B35" s="66">
        <f>7000</f>
        <v>7000</v>
      </c>
    </row>
    <row r="36" spans="1:5" x14ac:dyDescent="0.2">
      <c r="A36" s="44" t="s">
        <v>210</v>
      </c>
      <c r="B36" s="66">
        <f>4000</f>
        <v>4000</v>
      </c>
    </row>
    <row r="37" spans="1:5" x14ac:dyDescent="0.2">
      <c r="A37" s="44" t="s">
        <v>211</v>
      </c>
      <c r="B37" s="65">
        <f>((B34)+(B35))+(B36)</f>
        <v>11000</v>
      </c>
      <c r="D37" s="37" t="s">
        <v>134</v>
      </c>
      <c r="E37" s="37" t="s">
        <v>150</v>
      </c>
    </row>
    <row r="38" spans="1:5" x14ac:dyDescent="0.2">
      <c r="A38" s="44" t="s">
        <v>212</v>
      </c>
      <c r="B38" s="45"/>
    </row>
    <row r="39" spans="1:5" x14ac:dyDescent="0.2">
      <c r="A39" s="44" t="s">
        <v>213</v>
      </c>
      <c r="B39" s="66">
        <f>1525</f>
        <v>1525</v>
      </c>
    </row>
    <row r="40" spans="1:5" x14ac:dyDescent="0.2">
      <c r="A40" s="44" t="s">
        <v>214</v>
      </c>
      <c r="B40" s="65">
        <f>(B38)+(B39)</f>
        <v>1525</v>
      </c>
      <c r="D40" s="37" t="s">
        <v>130</v>
      </c>
      <c r="E40" s="37" t="s">
        <v>153</v>
      </c>
    </row>
    <row r="41" spans="1:5" x14ac:dyDescent="0.2">
      <c r="A41" s="44" t="s">
        <v>215</v>
      </c>
      <c r="B41" s="64">
        <f>15000</f>
        <v>15000</v>
      </c>
      <c r="D41" s="37" t="s">
        <v>134</v>
      </c>
    </row>
    <row r="42" spans="1:5" x14ac:dyDescent="0.2">
      <c r="A42" s="44" t="s">
        <v>216</v>
      </c>
      <c r="B42" s="67">
        <f>((((((B17)+(B22))+(B29))+(B33))+(B37))+(B40))+(B41)</f>
        <v>453540.28</v>
      </c>
    </row>
    <row r="43" spans="1:5" x14ac:dyDescent="0.2">
      <c r="A43" s="44" t="s">
        <v>217</v>
      </c>
      <c r="B43" s="64">
        <f>1000</f>
        <v>1000</v>
      </c>
      <c r="D43" s="37" t="s">
        <v>130</v>
      </c>
      <c r="E43" s="37" t="s">
        <v>153</v>
      </c>
    </row>
    <row r="44" spans="1:5" x14ac:dyDescent="0.2">
      <c r="A44" s="44" t="s">
        <v>218</v>
      </c>
      <c r="B44" s="45"/>
    </row>
    <row r="45" spans="1:5" x14ac:dyDescent="0.2">
      <c r="A45" s="44" t="s">
        <v>219</v>
      </c>
      <c r="B45" s="66">
        <f>129293.4</f>
        <v>129293.4</v>
      </c>
    </row>
    <row r="46" spans="1:5" x14ac:dyDescent="0.2">
      <c r="A46" s="44" t="s">
        <v>220</v>
      </c>
      <c r="B46" s="66">
        <f>3700</f>
        <v>3700</v>
      </c>
    </row>
    <row r="47" spans="1:5" x14ac:dyDescent="0.2">
      <c r="A47" s="44" t="s">
        <v>221</v>
      </c>
      <c r="B47" s="66">
        <f>8900</f>
        <v>8900</v>
      </c>
    </row>
    <row r="48" spans="1:5" x14ac:dyDescent="0.2">
      <c r="A48" s="44" t="s">
        <v>222</v>
      </c>
      <c r="B48" s="65">
        <f>(((B44)+(B45))+(B46))+(B47)</f>
        <v>141893.4</v>
      </c>
      <c r="D48" s="37" t="s">
        <v>126</v>
      </c>
    </row>
    <row r="49" spans="1:5" x14ac:dyDescent="0.2">
      <c r="A49" s="44" t="s">
        <v>223</v>
      </c>
      <c r="B49" s="45"/>
    </row>
    <row r="50" spans="1:5" x14ac:dyDescent="0.2">
      <c r="A50" s="44" t="s">
        <v>224</v>
      </c>
      <c r="B50" s="64">
        <f>1575.6</f>
        <v>1575.6</v>
      </c>
      <c r="D50" s="37" t="s">
        <v>108</v>
      </c>
      <c r="E50" s="37" t="s">
        <v>136</v>
      </c>
    </row>
    <row r="51" spans="1:5" x14ac:dyDescent="0.2">
      <c r="A51" s="44" t="s">
        <v>225</v>
      </c>
      <c r="B51" s="64">
        <f>130400</f>
        <v>130400</v>
      </c>
      <c r="D51" s="37" t="s">
        <v>127</v>
      </c>
      <c r="E51" s="37" t="s">
        <v>153</v>
      </c>
    </row>
    <row r="52" spans="1:5" x14ac:dyDescent="0.2">
      <c r="A52" s="44" t="s">
        <v>226</v>
      </c>
      <c r="B52" s="64">
        <f>310</f>
        <v>310</v>
      </c>
      <c r="D52" s="37" t="s">
        <v>628</v>
      </c>
    </row>
    <row r="53" spans="1:5" x14ac:dyDescent="0.2">
      <c r="A53" s="44" t="s">
        <v>227</v>
      </c>
      <c r="B53" s="64">
        <f>8000</f>
        <v>8000</v>
      </c>
      <c r="D53" s="37" t="s">
        <v>123</v>
      </c>
    </row>
    <row r="54" spans="1:5" x14ac:dyDescent="0.2">
      <c r="A54" s="44" t="s">
        <v>228</v>
      </c>
      <c r="B54" s="64">
        <f>1855</f>
        <v>1855</v>
      </c>
      <c r="D54" s="37" t="s">
        <v>628</v>
      </c>
      <c r="E54" s="37" t="s">
        <v>630</v>
      </c>
    </row>
    <row r="55" spans="1:5" x14ac:dyDescent="0.2">
      <c r="A55" s="44" t="s">
        <v>229</v>
      </c>
      <c r="B55" s="64">
        <f>4846.91</f>
        <v>4846.91</v>
      </c>
      <c r="D55" s="37" t="s">
        <v>628</v>
      </c>
      <c r="E55" s="37" t="s">
        <v>630</v>
      </c>
    </row>
    <row r="56" spans="1:5" x14ac:dyDescent="0.2">
      <c r="A56" s="44" t="s">
        <v>230</v>
      </c>
      <c r="B56" s="64">
        <f>10670</f>
        <v>10670</v>
      </c>
      <c r="D56" s="37" t="s">
        <v>628</v>
      </c>
      <c r="E56" s="37" t="s">
        <v>630</v>
      </c>
    </row>
    <row r="57" spans="1:5" x14ac:dyDescent="0.2">
      <c r="A57" s="44" t="s">
        <v>231</v>
      </c>
      <c r="B57" s="64">
        <f>844.11</f>
        <v>844.11</v>
      </c>
      <c r="D57" s="37" t="s">
        <v>628</v>
      </c>
    </row>
    <row r="58" spans="1:5" x14ac:dyDescent="0.2">
      <c r="A58" s="44" t="s">
        <v>232</v>
      </c>
      <c r="B58" s="64">
        <f>30676.16</f>
        <v>30676.16</v>
      </c>
      <c r="D58" s="37" t="s">
        <v>628</v>
      </c>
    </row>
    <row r="59" spans="1:5" x14ac:dyDescent="0.2">
      <c r="A59" s="44" t="s">
        <v>233</v>
      </c>
      <c r="B59" s="64">
        <f>18200</f>
        <v>18200</v>
      </c>
      <c r="D59" s="37" t="s">
        <v>128</v>
      </c>
      <c r="E59" s="37" t="s">
        <v>152</v>
      </c>
    </row>
    <row r="60" spans="1:5" x14ac:dyDescent="0.2">
      <c r="A60" s="44" t="s">
        <v>234</v>
      </c>
      <c r="B60" s="64">
        <f>10000</f>
        <v>10000</v>
      </c>
      <c r="D60" s="37" t="s">
        <v>628</v>
      </c>
    </row>
    <row r="61" spans="1:5" x14ac:dyDescent="0.2">
      <c r="A61" s="44" t="s">
        <v>235</v>
      </c>
      <c r="B61" s="67">
        <f>(((((((((((B49)+(B50))+(B51))+(B52))+(B53))+(B54))+(B55))+(B56))+(B57))+(B58))+(B59))+(B60)</f>
        <v>217377.78</v>
      </c>
    </row>
    <row r="62" spans="1:5" x14ac:dyDescent="0.2">
      <c r="A62" s="44" t="s">
        <v>236</v>
      </c>
      <c r="B62" s="45"/>
    </row>
    <row r="63" spans="1:5" x14ac:dyDescent="0.2">
      <c r="A63" s="44" t="s">
        <v>237</v>
      </c>
      <c r="B63" s="66">
        <f>5190</f>
        <v>5190</v>
      </c>
    </row>
    <row r="64" spans="1:5" x14ac:dyDescent="0.2">
      <c r="A64" s="44" t="s">
        <v>238</v>
      </c>
      <c r="B64" s="65">
        <f>(B62)+(B63)</f>
        <v>5190</v>
      </c>
      <c r="D64" s="37" t="s">
        <v>131</v>
      </c>
      <c r="E64" s="37" t="s">
        <v>142</v>
      </c>
    </row>
    <row r="65" spans="1:5" x14ac:dyDescent="0.2">
      <c r="A65" s="44" t="s">
        <v>239</v>
      </c>
      <c r="B65" s="64">
        <f>5335</f>
        <v>5335</v>
      </c>
      <c r="D65" s="37" t="s">
        <v>132</v>
      </c>
      <c r="E65" s="37" t="s">
        <v>140</v>
      </c>
    </row>
    <row r="66" spans="1:5" x14ac:dyDescent="0.2">
      <c r="A66" s="44" t="s">
        <v>240</v>
      </c>
      <c r="B66" s="64">
        <f>42465</f>
        <v>42465</v>
      </c>
      <c r="D66" s="37" t="s">
        <v>119</v>
      </c>
      <c r="E66" s="80"/>
    </row>
    <row r="67" spans="1:5" x14ac:dyDescent="0.2">
      <c r="A67" s="44" t="s">
        <v>241</v>
      </c>
      <c r="B67" s="67">
        <f>(B65)+(B66)</f>
        <v>47800</v>
      </c>
    </row>
    <row r="68" spans="1:5" x14ac:dyDescent="0.2">
      <c r="A68" s="44" t="s">
        <v>242</v>
      </c>
      <c r="B68" s="67">
        <f>((((((B16)+(B42))+(B43))+(B48))+(B61))+(B64))+(B67)</f>
        <v>866801.46000000008</v>
      </c>
    </row>
    <row r="69" spans="1:5" x14ac:dyDescent="0.2">
      <c r="A69" s="44" t="s">
        <v>243</v>
      </c>
      <c r="B69" s="64">
        <f>60</f>
        <v>60</v>
      </c>
      <c r="D69" s="37" t="s">
        <v>112</v>
      </c>
    </row>
    <row r="70" spans="1:5" x14ac:dyDescent="0.2">
      <c r="A70" s="44" t="s">
        <v>244</v>
      </c>
      <c r="B70" s="45"/>
    </row>
    <row r="71" spans="1:5" x14ac:dyDescent="0.2">
      <c r="A71" s="44" t="s">
        <v>245</v>
      </c>
      <c r="B71" s="66">
        <f>174154.92</f>
        <v>174154.92</v>
      </c>
    </row>
    <row r="72" spans="1:5" x14ac:dyDescent="0.2">
      <c r="A72" s="44" t="s">
        <v>246</v>
      </c>
      <c r="B72" s="66">
        <f>375</f>
        <v>375</v>
      </c>
    </row>
    <row r="73" spans="1:5" x14ac:dyDescent="0.2">
      <c r="A73" s="44" t="s">
        <v>247</v>
      </c>
      <c r="B73" s="66">
        <f>11849.8</f>
        <v>11849.8</v>
      </c>
    </row>
    <row r="74" spans="1:5" x14ac:dyDescent="0.2">
      <c r="A74" s="44" t="s">
        <v>248</v>
      </c>
      <c r="B74" s="66">
        <f>12015.37</f>
        <v>12015.37</v>
      </c>
    </row>
    <row r="75" spans="1:5" x14ac:dyDescent="0.2">
      <c r="A75" s="44" t="s">
        <v>249</v>
      </c>
      <c r="B75" s="66">
        <f>2900</f>
        <v>2900</v>
      </c>
    </row>
    <row r="76" spans="1:5" x14ac:dyDescent="0.2">
      <c r="A76" s="44" t="s">
        <v>250</v>
      </c>
      <c r="B76" s="66">
        <f>8185</f>
        <v>8185</v>
      </c>
    </row>
    <row r="77" spans="1:5" x14ac:dyDescent="0.2">
      <c r="A77" s="44" t="s">
        <v>251</v>
      </c>
      <c r="B77" s="66">
        <f>2500</f>
        <v>2500</v>
      </c>
    </row>
    <row r="78" spans="1:5" x14ac:dyDescent="0.2">
      <c r="A78" s="44" t="s">
        <v>252</v>
      </c>
      <c r="B78" s="65">
        <f>(((((((B70)+(B71))+(B72))+(B73))+(B74))+(B75))+(B76))+(B77)</f>
        <v>211980.09</v>
      </c>
      <c r="D78" s="37" t="s">
        <v>108</v>
      </c>
    </row>
    <row r="79" spans="1:5" x14ac:dyDescent="0.2">
      <c r="A79" s="44" t="s">
        <v>253</v>
      </c>
      <c r="B79" s="45"/>
    </row>
    <row r="80" spans="1:5" x14ac:dyDescent="0.2">
      <c r="A80" s="44" t="s">
        <v>254</v>
      </c>
      <c r="B80" s="45"/>
    </row>
    <row r="81" spans="1:5" x14ac:dyDescent="0.2">
      <c r="A81" s="44" t="s">
        <v>255</v>
      </c>
      <c r="B81" s="66">
        <f>43044.36</f>
        <v>43044.36</v>
      </c>
    </row>
    <row r="82" spans="1:5" x14ac:dyDescent="0.2">
      <c r="A82" s="44" t="s">
        <v>256</v>
      </c>
      <c r="B82" s="66">
        <f>4776.44</f>
        <v>4776.4399999999996</v>
      </c>
    </row>
    <row r="83" spans="1:5" x14ac:dyDescent="0.2">
      <c r="A83" s="44" t="s">
        <v>257</v>
      </c>
      <c r="B83" s="66">
        <f>35260.02</f>
        <v>35260.019999999997</v>
      </c>
    </row>
    <row r="84" spans="1:5" x14ac:dyDescent="0.2">
      <c r="A84" s="44" t="s">
        <v>258</v>
      </c>
      <c r="B84" s="66">
        <f>203705.5</f>
        <v>203705.5</v>
      </c>
    </row>
    <row r="85" spans="1:5" x14ac:dyDescent="0.2">
      <c r="A85" s="44" t="s">
        <v>259</v>
      </c>
      <c r="B85" s="66">
        <f>66486.04</f>
        <v>66486.039999999994</v>
      </c>
    </row>
    <row r="86" spans="1:5" x14ac:dyDescent="0.2">
      <c r="A86" s="44" t="s">
        <v>260</v>
      </c>
      <c r="B86" s="66">
        <f>5866.63</f>
        <v>5866.63</v>
      </c>
    </row>
    <row r="87" spans="1:5" x14ac:dyDescent="0.2">
      <c r="A87" s="44" t="s">
        <v>261</v>
      </c>
      <c r="B87" s="65">
        <f>((((((B80)+(B81))+(B82))+(B83))+(B84))+(B85))+(B86)</f>
        <v>359138.99</v>
      </c>
      <c r="D87" s="37" t="s">
        <v>132</v>
      </c>
    </row>
    <row r="88" spans="1:5" x14ac:dyDescent="0.2">
      <c r="A88" s="44" t="s">
        <v>262</v>
      </c>
      <c r="B88" s="67">
        <f>(B79)+(B87)</f>
        <v>359138.99</v>
      </c>
    </row>
    <row r="89" spans="1:5" x14ac:dyDescent="0.2">
      <c r="A89" s="44" t="s">
        <v>263</v>
      </c>
      <c r="B89" s="45"/>
    </row>
    <row r="90" spans="1:5" x14ac:dyDescent="0.2">
      <c r="A90" s="44" t="s">
        <v>264</v>
      </c>
      <c r="B90" s="64">
        <f>24303.7</f>
        <v>24303.7</v>
      </c>
      <c r="D90" s="37" t="s">
        <v>629</v>
      </c>
      <c r="E90" s="37" t="s">
        <v>151</v>
      </c>
    </row>
    <row r="91" spans="1:5" x14ac:dyDescent="0.2">
      <c r="A91" s="44" t="s">
        <v>265</v>
      </c>
      <c r="B91" s="67">
        <f>(B89)+(B90)</f>
        <v>24303.7</v>
      </c>
    </row>
    <row r="92" spans="1:5" x14ac:dyDescent="0.2">
      <c r="A92" s="44" t="s">
        <v>266</v>
      </c>
      <c r="B92" s="64">
        <f>209794.83</f>
        <v>209794.83</v>
      </c>
      <c r="D92" s="37" t="s">
        <v>120</v>
      </c>
    </row>
    <row r="93" spans="1:5" x14ac:dyDescent="0.2">
      <c r="A93" s="44" t="s">
        <v>267</v>
      </c>
      <c r="B93" s="64">
        <f>120000</f>
        <v>120000</v>
      </c>
      <c r="D93" s="37" t="s">
        <v>122</v>
      </c>
    </row>
    <row r="94" spans="1:5" x14ac:dyDescent="0.2">
      <c r="A94" s="44" t="s">
        <v>268</v>
      </c>
      <c r="B94" s="45"/>
    </row>
    <row r="95" spans="1:5" x14ac:dyDescent="0.2">
      <c r="A95" s="44" t="s">
        <v>269</v>
      </c>
      <c r="B95" s="66">
        <f>500</f>
        <v>500</v>
      </c>
    </row>
    <row r="96" spans="1:5" x14ac:dyDescent="0.2">
      <c r="A96" s="44" t="s">
        <v>270</v>
      </c>
      <c r="B96" s="65">
        <f>(B94)+(B95)</f>
        <v>500</v>
      </c>
      <c r="D96" s="37" t="s">
        <v>124</v>
      </c>
    </row>
    <row r="97" spans="1:5" x14ac:dyDescent="0.2">
      <c r="A97" s="44" t="s">
        <v>271</v>
      </c>
      <c r="B97" s="64">
        <f>20720.94</f>
        <v>20720.939999999999</v>
      </c>
      <c r="D97" s="37" t="s">
        <v>123</v>
      </c>
    </row>
    <row r="98" spans="1:5" x14ac:dyDescent="0.2">
      <c r="A98" s="44" t="s">
        <v>272</v>
      </c>
      <c r="B98" s="64">
        <f>552</f>
        <v>552</v>
      </c>
      <c r="D98" s="37" t="s">
        <v>122</v>
      </c>
    </row>
    <row r="99" spans="1:5" x14ac:dyDescent="0.2">
      <c r="A99" s="44" t="s">
        <v>273</v>
      </c>
      <c r="B99" s="45"/>
    </row>
    <row r="100" spans="1:5" x14ac:dyDescent="0.2">
      <c r="A100" s="44" t="s">
        <v>274</v>
      </c>
      <c r="B100" s="64">
        <f>1039.2</f>
        <v>1039.2</v>
      </c>
      <c r="D100" s="37" t="s">
        <v>112</v>
      </c>
    </row>
    <row r="101" spans="1:5" x14ac:dyDescent="0.2">
      <c r="A101" s="44" t="s">
        <v>275</v>
      </c>
      <c r="B101" s="64">
        <f>33747.38</f>
        <v>33747.379999999997</v>
      </c>
      <c r="D101" s="37" t="s">
        <v>124</v>
      </c>
    </row>
    <row r="102" spans="1:5" x14ac:dyDescent="0.2">
      <c r="A102" s="44" t="s">
        <v>276</v>
      </c>
      <c r="B102" s="67">
        <f>((B99)+(B100))+(B101)</f>
        <v>34786.579999999994</v>
      </c>
    </row>
    <row r="103" spans="1:5" x14ac:dyDescent="0.2">
      <c r="A103" s="44" t="s">
        <v>277</v>
      </c>
      <c r="B103" s="67">
        <f>((((((((((((B14)+(B15))+(B68))+(B69))+(B78))+(B88))+(B91))+(B92))+(B93))+(B96))+(B97))+(B98))+(B102)</f>
        <v>1935434.05</v>
      </c>
    </row>
    <row r="104" spans="1:5" s="76" customFormat="1" ht="17" thickBot="1" x14ac:dyDescent="0.25">
      <c r="A104" s="83" t="s">
        <v>278</v>
      </c>
      <c r="B104" s="84">
        <f>(B103)-(0)</f>
        <v>1935434.05</v>
      </c>
    </row>
    <row r="105" spans="1:5" x14ac:dyDescent="0.2">
      <c r="A105" s="44" t="s">
        <v>279</v>
      </c>
      <c r="B105" s="45"/>
    </row>
    <row r="106" spans="1:5" x14ac:dyDescent="0.2">
      <c r="A106" s="44" t="s">
        <v>280</v>
      </c>
      <c r="B106" s="45"/>
    </row>
    <row r="107" spans="1:5" x14ac:dyDescent="0.2">
      <c r="A107" s="44" t="s">
        <v>281</v>
      </c>
      <c r="B107" s="77"/>
      <c r="E107" s="37" t="s">
        <v>160</v>
      </c>
    </row>
    <row r="108" spans="1:5" x14ac:dyDescent="0.2">
      <c r="A108" s="44" t="s">
        <v>282</v>
      </c>
      <c r="B108" s="79"/>
    </row>
    <row r="109" spans="1:5" x14ac:dyDescent="0.2">
      <c r="A109" s="44" t="s">
        <v>283</v>
      </c>
      <c r="B109" s="77"/>
      <c r="E109" s="37" t="s">
        <v>160</v>
      </c>
    </row>
    <row r="110" spans="1:5" x14ac:dyDescent="0.2">
      <c r="A110" s="44" t="s">
        <v>284</v>
      </c>
      <c r="B110" s="77"/>
      <c r="E110" s="37" t="s">
        <v>160</v>
      </c>
    </row>
    <row r="111" spans="1:5" x14ac:dyDescent="0.2">
      <c r="A111" s="44" t="s">
        <v>285</v>
      </c>
      <c r="B111" s="77"/>
      <c r="E111" s="37" t="s">
        <v>160</v>
      </c>
    </row>
    <row r="112" spans="1:5" x14ac:dyDescent="0.2">
      <c r="A112" s="44" t="s">
        <v>286</v>
      </c>
      <c r="B112" s="77"/>
      <c r="E112" s="37" t="s">
        <v>160</v>
      </c>
    </row>
    <row r="113" spans="1:5" x14ac:dyDescent="0.2">
      <c r="A113" s="44" t="s">
        <v>287</v>
      </c>
      <c r="B113" s="77"/>
      <c r="D113" s="37" t="s">
        <v>128</v>
      </c>
      <c r="E113" s="37" t="s">
        <v>152</v>
      </c>
    </row>
    <row r="114" spans="1:5" x14ac:dyDescent="0.2">
      <c r="A114" s="44" t="s">
        <v>288</v>
      </c>
      <c r="B114" s="77"/>
      <c r="D114" s="37" t="s">
        <v>128</v>
      </c>
      <c r="E114" s="37" t="s">
        <v>152</v>
      </c>
    </row>
    <row r="115" spans="1:5" x14ac:dyDescent="0.2">
      <c r="A115" s="44" t="s">
        <v>289</v>
      </c>
      <c r="B115" s="77"/>
      <c r="E115" s="37" t="s">
        <v>160</v>
      </c>
    </row>
    <row r="116" spans="1:5" x14ac:dyDescent="0.2">
      <c r="A116" s="44" t="s">
        <v>290</v>
      </c>
      <c r="B116" s="77"/>
      <c r="D116" s="37" t="s">
        <v>135</v>
      </c>
      <c r="E116" s="37" t="s">
        <v>141</v>
      </c>
    </row>
    <row r="117" spans="1:5" x14ac:dyDescent="0.2">
      <c r="A117" s="44" t="s">
        <v>291</v>
      </c>
      <c r="B117" s="77"/>
      <c r="E117" s="37" t="s">
        <v>160</v>
      </c>
    </row>
    <row r="118" spans="1:5" x14ac:dyDescent="0.2">
      <c r="A118" s="44" t="s">
        <v>292</v>
      </c>
      <c r="B118" s="77"/>
      <c r="E118" s="37" t="s">
        <v>160</v>
      </c>
    </row>
    <row r="119" spans="1:5" x14ac:dyDescent="0.2">
      <c r="A119" s="44" t="s">
        <v>293</v>
      </c>
      <c r="B119" s="77"/>
      <c r="E119" s="37" t="s">
        <v>160</v>
      </c>
    </row>
    <row r="120" spans="1:5" x14ac:dyDescent="0.2">
      <c r="A120" s="44" t="s">
        <v>294</v>
      </c>
      <c r="B120" s="82">
        <v>493315.84000000003</v>
      </c>
    </row>
    <row r="121" spans="1:5" x14ac:dyDescent="0.2">
      <c r="A121" s="44" t="s">
        <v>295</v>
      </c>
      <c r="B121" s="45"/>
    </row>
    <row r="122" spans="1:5" x14ac:dyDescent="0.2">
      <c r="A122" s="44" t="s">
        <v>296</v>
      </c>
      <c r="B122" s="45"/>
    </row>
    <row r="123" spans="1:5" x14ac:dyDescent="0.2">
      <c r="A123" s="44" t="s">
        <v>297</v>
      </c>
      <c r="B123" s="77">
        <f>5002</f>
        <v>5002</v>
      </c>
      <c r="D123" s="37" t="s">
        <v>134</v>
      </c>
      <c r="E123" s="37" t="s">
        <v>149</v>
      </c>
    </row>
    <row r="124" spans="1:5" x14ac:dyDescent="0.2">
      <c r="A124" s="44" t="s">
        <v>298</v>
      </c>
      <c r="B124" s="77">
        <f>2515</f>
        <v>2515</v>
      </c>
      <c r="E124" s="37" t="s">
        <v>149</v>
      </c>
    </row>
    <row r="125" spans="1:5" x14ac:dyDescent="0.2">
      <c r="A125" s="44" t="s">
        <v>299</v>
      </c>
      <c r="B125" s="77">
        <f>14640</f>
        <v>14640</v>
      </c>
      <c r="D125" s="37" t="s">
        <v>134</v>
      </c>
      <c r="E125" s="37" t="s">
        <v>149</v>
      </c>
    </row>
    <row r="126" spans="1:5" x14ac:dyDescent="0.2">
      <c r="A126" s="44" t="s">
        <v>300</v>
      </c>
      <c r="B126" s="77">
        <f>10017</f>
        <v>10017</v>
      </c>
      <c r="D126" s="37" t="s">
        <v>134</v>
      </c>
      <c r="E126" s="37" t="s">
        <v>149</v>
      </c>
    </row>
    <row r="127" spans="1:5" x14ac:dyDescent="0.2">
      <c r="A127" s="44" t="s">
        <v>301</v>
      </c>
      <c r="B127" s="82">
        <f>((((B122)+(B123))+(B124))+(B125))+(B126)</f>
        <v>32174</v>
      </c>
    </row>
    <row r="128" spans="1:5" x14ac:dyDescent="0.2">
      <c r="A128" s="44" t="s">
        <v>302</v>
      </c>
      <c r="B128" s="45"/>
    </row>
    <row r="129" spans="1:2" x14ac:dyDescent="0.2">
      <c r="A129" s="44" t="s">
        <v>303</v>
      </c>
      <c r="B129" s="45"/>
    </row>
    <row r="130" spans="1:2" x14ac:dyDescent="0.2">
      <c r="A130" s="44" t="s">
        <v>304</v>
      </c>
      <c r="B130" s="79">
        <f>18527</f>
        <v>18527</v>
      </c>
    </row>
    <row r="131" spans="1:2" x14ac:dyDescent="0.2">
      <c r="A131" s="44" t="s">
        <v>305</v>
      </c>
      <c r="B131" s="79">
        <f>8002</f>
        <v>8002</v>
      </c>
    </row>
    <row r="132" spans="1:2" x14ac:dyDescent="0.2">
      <c r="A132" s="44" t="s">
        <v>306</v>
      </c>
      <c r="B132" s="79">
        <f>22023</f>
        <v>22023</v>
      </c>
    </row>
    <row r="133" spans="1:2" x14ac:dyDescent="0.2">
      <c r="A133" s="44" t="s">
        <v>307</v>
      </c>
      <c r="B133" s="79">
        <f>5000</f>
        <v>5000</v>
      </c>
    </row>
    <row r="134" spans="1:2" x14ac:dyDescent="0.2">
      <c r="A134" s="44" t="s">
        <v>308</v>
      </c>
      <c r="B134" s="79">
        <f>10004</f>
        <v>10004</v>
      </c>
    </row>
    <row r="135" spans="1:2" x14ac:dyDescent="0.2">
      <c r="A135" s="44" t="s">
        <v>309</v>
      </c>
      <c r="B135" s="79">
        <f>8019</f>
        <v>8019</v>
      </c>
    </row>
    <row r="136" spans="1:2" x14ac:dyDescent="0.2">
      <c r="A136" s="44" t="s">
        <v>310</v>
      </c>
      <c r="B136" s="79">
        <f>17025</f>
        <v>17025</v>
      </c>
    </row>
    <row r="137" spans="1:2" x14ac:dyDescent="0.2">
      <c r="A137" s="44" t="s">
        <v>311</v>
      </c>
      <c r="B137" s="79">
        <f>12034</f>
        <v>12034</v>
      </c>
    </row>
    <row r="138" spans="1:2" x14ac:dyDescent="0.2">
      <c r="A138" s="44" t="s">
        <v>312</v>
      </c>
      <c r="B138" s="82">
        <f>((((((((B129)+(B130))+(B131))+(B132))+(B133))+(B134))+(B135))+(B136))+(B137)</f>
        <v>100634</v>
      </c>
    </row>
    <row r="139" spans="1:2" x14ac:dyDescent="0.2">
      <c r="A139" s="44" t="s">
        <v>313</v>
      </c>
      <c r="B139" s="45"/>
    </row>
    <row r="140" spans="1:2" x14ac:dyDescent="0.2">
      <c r="A140" s="44" t="s">
        <v>314</v>
      </c>
      <c r="B140" s="79">
        <f>4000</f>
        <v>4000</v>
      </c>
    </row>
    <row r="141" spans="1:2" x14ac:dyDescent="0.2">
      <c r="A141" s="44" t="s">
        <v>315</v>
      </c>
      <c r="B141" s="79">
        <f>0</f>
        <v>0</v>
      </c>
    </row>
    <row r="142" spans="1:2" x14ac:dyDescent="0.2">
      <c r="A142" s="44" t="s">
        <v>316</v>
      </c>
      <c r="B142" s="79">
        <f>2000</f>
        <v>2000</v>
      </c>
    </row>
    <row r="143" spans="1:2" x14ac:dyDescent="0.2">
      <c r="A143" s="44" t="s">
        <v>317</v>
      </c>
      <c r="B143" s="79">
        <f>10023</f>
        <v>10023</v>
      </c>
    </row>
    <row r="144" spans="1:2" x14ac:dyDescent="0.2">
      <c r="A144" s="44" t="s">
        <v>318</v>
      </c>
      <c r="B144" s="82">
        <f>((((B139)+(B140))+(B141))+(B142))+(B143)</f>
        <v>16023</v>
      </c>
    </row>
    <row r="145" spans="1:5" x14ac:dyDescent="0.2">
      <c r="A145" s="44" t="s">
        <v>319</v>
      </c>
      <c r="B145" s="78">
        <f>((B128)+(B138))+(B144)</f>
        <v>116657</v>
      </c>
      <c r="D145" s="37" t="s">
        <v>134</v>
      </c>
      <c r="E145" s="37" t="s">
        <v>148</v>
      </c>
    </row>
    <row r="146" spans="1:5" x14ac:dyDescent="0.2">
      <c r="A146" s="44" t="s">
        <v>320</v>
      </c>
      <c r="B146" s="45"/>
    </row>
    <row r="147" spans="1:5" x14ac:dyDescent="0.2">
      <c r="A147" s="44" t="s">
        <v>321</v>
      </c>
      <c r="B147" s="79">
        <f>8004</f>
        <v>8004</v>
      </c>
    </row>
    <row r="148" spans="1:5" x14ac:dyDescent="0.2">
      <c r="A148" s="44" t="s">
        <v>322</v>
      </c>
      <c r="B148" s="79">
        <f>7000</f>
        <v>7000</v>
      </c>
    </row>
    <row r="149" spans="1:5" x14ac:dyDescent="0.2">
      <c r="A149" s="44" t="s">
        <v>323</v>
      </c>
      <c r="B149" s="79">
        <f>5015</f>
        <v>5015</v>
      </c>
    </row>
    <row r="150" spans="1:5" x14ac:dyDescent="0.2">
      <c r="A150" s="44" t="s">
        <v>324</v>
      </c>
      <c r="B150" s="78">
        <f>(((B146)+(B147))+(B148))+(B149)</f>
        <v>20019</v>
      </c>
      <c r="E150" s="37" t="s">
        <v>150</v>
      </c>
    </row>
    <row r="151" spans="1:5" x14ac:dyDescent="0.2">
      <c r="A151" s="44" t="s">
        <v>325</v>
      </c>
      <c r="B151" s="77">
        <f>4865</f>
        <v>4865</v>
      </c>
      <c r="E151" s="37" t="s">
        <v>149</v>
      </c>
    </row>
    <row r="152" spans="1:5" x14ac:dyDescent="0.2">
      <c r="A152" s="44" t="s">
        <v>326</v>
      </c>
      <c r="B152" s="45"/>
    </row>
    <row r="153" spans="1:5" x14ac:dyDescent="0.2">
      <c r="A153" s="44" t="s">
        <v>327</v>
      </c>
      <c r="B153" s="79">
        <f>0</f>
        <v>0</v>
      </c>
    </row>
    <row r="154" spans="1:5" x14ac:dyDescent="0.2">
      <c r="A154" s="44" t="s">
        <v>328</v>
      </c>
      <c r="B154" s="79">
        <f>2250</f>
        <v>2250</v>
      </c>
    </row>
    <row r="155" spans="1:5" x14ac:dyDescent="0.2">
      <c r="A155" s="44" t="s">
        <v>329</v>
      </c>
      <c r="B155" s="79">
        <f>3627</f>
        <v>3627</v>
      </c>
    </row>
    <row r="156" spans="1:5" x14ac:dyDescent="0.2">
      <c r="A156" s="44" t="s">
        <v>330</v>
      </c>
      <c r="B156" s="79">
        <f>20455.04</f>
        <v>20455.04</v>
      </c>
    </row>
    <row r="157" spans="1:5" x14ac:dyDescent="0.2">
      <c r="A157" s="44" t="s">
        <v>331</v>
      </c>
      <c r="B157" s="78">
        <f>((((B152)+(B153))+(B154))+(B155))+(B156)</f>
        <v>26332.04</v>
      </c>
      <c r="E157" s="37" t="s">
        <v>136</v>
      </c>
    </row>
    <row r="158" spans="1:5" x14ac:dyDescent="0.2">
      <c r="A158" s="44" t="s">
        <v>332</v>
      </c>
      <c r="B158" s="82">
        <f>(((((B121)+(B127))+(B145))+(B150))+(B151))+(B157)</f>
        <v>200047.04</v>
      </c>
    </row>
    <row r="159" spans="1:5" x14ac:dyDescent="0.2">
      <c r="A159" s="44" t="s">
        <v>333</v>
      </c>
      <c r="B159" s="45"/>
    </row>
    <row r="160" spans="1:5" x14ac:dyDescent="0.2">
      <c r="A160" s="44" t="s">
        <v>334</v>
      </c>
      <c r="B160" s="77"/>
      <c r="E160" s="37" t="s">
        <v>160</v>
      </c>
    </row>
    <row r="161" spans="1:5" x14ac:dyDescent="0.2">
      <c r="A161" s="44" t="s">
        <v>335</v>
      </c>
      <c r="B161" s="77"/>
      <c r="E161" s="37" t="s">
        <v>160</v>
      </c>
    </row>
    <row r="162" spans="1:5" x14ac:dyDescent="0.2">
      <c r="A162" s="44" t="s">
        <v>336</v>
      </c>
      <c r="B162" s="77"/>
      <c r="E162" s="37" t="s">
        <v>160</v>
      </c>
    </row>
    <row r="163" spans="1:5" x14ac:dyDescent="0.2">
      <c r="A163" s="44" t="s">
        <v>337</v>
      </c>
      <c r="B163" s="77"/>
      <c r="E163" s="37" t="s">
        <v>160</v>
      </c>
    </row>
    <row r="164" spans="1:5" x14ac:dyDescent="0.2">
      <c r="A164" s="44" t="s">
        <v>338</v>
      </c>
      <c r="B164" s="77"/>
      <c r="E164" s="37" t="s">
        <v>160</v>
      </c>
    </row>
    <row r="165" spans="1:5" x14ac:dyDescent="0.2">
      <c r="A165" s="44" t="s">
        <v>339</v>
      </c>
      <c r="B165" s="77"/>
      <c r="E165" s="37" t="s">
        <v>160</v>
      </c>
    </row>
    <row r="166" spans="1:5" x14ac:dyDescent="0.2">
      <c r="A166" s="44" t="s">
        <v>340</v>
      </c>
      <c r="B166" s="77"/>
      <c r="E166" s="37" t="s">
        <v>160</v>
      </c>
    </row>
    <row r="167" spans="1:5" x14ac:dyDescent="0.2">
      <c r="A167" s="44" t="s">
        <v>341</v>
      </c>
      <c r="B167" s="77"/>
      <c r="E167" s="37" t="s">
        <v>160</v>
      </c>
    </row>
    <row r="168" spans="1:5" x14ac:dyDescent="0.2">
      <c r="A168" s="44" t="s">
        <v>342</v>
      </c>
      <c r="B168" s="77"/>
      <c r="D168" s="37" t="s">
        <v>128</v>
      </c>
      <c r="E168" s="37" t="s">
        <v>152</v>
      </c>
    </row>
    <row r="169" spans="1:5" x14ac:dyDescent="0.2">
      <c r="A169" s="44" t="s">
        <v>343</v>
      </c>
      <c r="B169" s="77"/>
      <c r="D169" s="37" t="s">
        <v>128</v>
      </c>
      <c r="E169" s="37" t="s">
        <v>152</v>
      </c>
    </row>
    <row r="170" spans="1:5" x14ac:dyDescent="0.2">
      <c r="A170" s="44" t="s">
        <v>344</v>
      </c>
      <c r="B170" s="77"/>
      <c r="E170" s="37" t="s">
        <v>160</v>
      </c>
    </row>
    <row r="171" spans="1:5" x14ac:dyDescent="0.2">
      <c r="A171" s="44" t="s">
        <v>345</v>
      </c>
      <c r="B171" s="77"/>
      <c r="D171" s="37" t="s">
        <v>135</v>
      </c>
      <c r="E171" s="37" t="s">
        <v>141</v>
      </c>
    </row>
    <row r="172" spans="1:5" x14ac:dyDescent="0.2">
      <c r="A172" s="44" t="s">
        <v>346</v>
      </c>
      <c r="B172" s="79"/>
    </row>
    <row r="173" spans="1:5" x14ac:dyDescent="0.2">
      <c r="A173" s="44" t="s">
        <v>347</v>
      </c>
      <c r="B173" s="82">
        <v>112064.37</v>
      </c>
    </row>
    <row r="174" spans="1:5" x14ac:dyDescent="0.2">
      <c r="A174" s="44" t="s">
        <v>348</v>
      </c>
      <c r="B174" s="77">
        <f>4328.17</f>
        <v>4328.17</v>
      </c>
      <c r="E174" s="37" t="s">
        <v>160</v>
      </c>
    </row>
    <row r="175" spans="1:5" x14ac:dyDescent="0.2">
      <c r="A175" s="44" t="s">
        <v>349</v>
      </c>
      <c r="B175" s="45"/>
    </row>
    <row r="176" spans="1:5" x14ac:dyDescent="0.2">
      <c r="A176" s="44" t="s">
        <v>350</v>
      </c>
      <c r="B176" s="79">
        <f>1380</f>
        <v>1380</v>
      </c>
    </row>
    <row r="177" spans="1:5" x14ac:dyDescent="0.2">
      <c r="A177" s="44" t="s">
        <v>351</v>
      </c>
      <c r="B177" s="79">
        <f>-76.8</f>
        <v>-76.8</v>
      </c>
    </row>
    <row r="178" spans="1:5" x14ac:dyDescent="0.2">
      <c r="A178" s="44" t="s">
        <v>352</v>
      </c>
      <c r="B178" s="79">
        <f>415.45</f>
        <v>415.45</v>
      </c>
    </row>
    <row r="179" spans="1:5" x14ac:dyDescent="0.2">
      <c r="A179" s="44" t="s">
        <v>353</v>
      </c>
      <c r="B179" s="79">
        <f>4291.15</f>
        <v>4291.1499999999996</v>
      </c>
    </row>
    <row r="180" spans="1:5" x14ac:dyDescent="0.2">
      <c r="A180" s="44" t="s">
        <v>354</v>
      </c>
      <c r="B180" s="79">
        <f>186.99</f>
        <v>186.99</v>
      </c>
    </row>
    <row r="181" spans="1:5" x14ac:dyDescent="0.2">
      <c r="A181" s="44" t="s">
        <v>355</v>
      </c>
      <c r="B181" s="79">
        <f>118</f>
        <v>118</v>
      </c>
    </row>
    <row r="182" spans="1:5" x14ac:dyDescent="0.2">
      <c r="A182" s="44" t="s">
        <v>356</v>
      </c>
      <c r="B182" s="79">
        <f>674.48</f>
        <v>674.48</v>
      </c>
    </row>
    <row r="183" spans="1:5" x14ac:dyDescent="0.2">
      <c r="A183" s="44" t="s">
        <v>357</v>
      </c>
      <c r="B183" s="79">
        <f>546.6</f>
        <v>546.6</v>
      </c>
    </row>
    <row r="184" spans="1:5" x14ac:dyDescent="0.2">
      <c r="A184" s="44" t="s">
        <v>358</v>
      </c>
      <c r="B184" s="79">
        <f>22.68</f>
        <v>22.68</v>
      </c>
    </row>
    <row r="185" spans="1:5" x14ac:dyDescent="0.2">
      <c r="A185" s="44" t="s">
        <v>359</v>
      </c>
      <c r="B185" s="79">
        <f>-426.48</f>
        <v>-426.48</v>
      </c>
    </row>
    <row r="186" spans="1:5" x14ac:dyDescent="0.2">
      <c r="A186" s="44" t="s">
        <v>360</v>
      </c>
      <c r="B186" s="79">
        <f>164.56</f>
        <v>164.56</v>
      </c>
    </row>
    <row r="187" spans="1:5" x14ac:dyDescent="0.2">
      <c r="A187" s="44" t="s">
        <v>361</v>
      </c>
      <c r="B187" s="79">
        <f>3807.57</f>
        <v>3807.57</v>
      </c>
    </row>
    <row r="188" spans="1:5" x14ac:dyDescent="0.2">
      <c r="A188" s="44" t="s">
        <v>362</v>
      </c>
      <c r="B188" s="78">
        <f>((((((((((((B175)+(B176))+(B177))+(B178))+(B179))+(B180))+(B181))+(B182))+(B183))+(B184))+(B185))+(B186))+(B187)</f>
        <v>11104.2</v>
      </c>
      <c r="E188" s="37" t="s">
        <v>160</v>
      </c>
    </row>
    <row r="189" spans="1:5" x14ac:dyDescent="0.2">
      <c r="A189" s="44" t="s">
        <v>363</v>
      </c>
      <c r="B189" s="45"/>
    </row>
    <row r="190" spans="1:5" x14ac:dyDescent="0.2">
      <c r="A190" s="44" t="s">
        <v>364</v>
      </c>
      <c r="B190" s="77">
        <f>3196.88</f>
        <v>3196.88</v>
      </c>
      <c r="E190" s="37" t="s">
        <v>159</v>
      </c>
    </row>
    <row r="191" spans="1:5" x14ac:dyDescent="0.2">
      <c r="A191" s="44" t="s">
        <v>365</v>
      </c>
      <c r="B191" s="77">
        <f>5536.98</f>
        <v>5536.98</v>
      </c>
      <c r="E191" s="37" t="s">
        <v>159</v>
      </c>
    </row>
    <row r="192" spans="1:5" x14ac:dyDescent="0.2">
      <c r="A192" s="44" t="s">
        <v>366</v>
      </c>
      <c r="B192" s="77">
        <f>2000</f>
        <v>2000</v>
      </c>
      <c r="E192" s="37" t="s">
        <v>152</v>
      </c>
    </row>
    <row r="193" spans="1:5" x14ac:dyDescent="0.2">
      <c r="A193" s="44" t="s">
        <v>367</v>
      </c>
      <c r="B193" s="82">
        <f>(((B189)+(B190))+(B191))+(B192)</f>
        <v>10733.86</v>
      </c>
    </row>
    <row r="194" spans="1:5" x14ac:dyDescent="0.2">
      <c r="A194" s="44" t="s">
        <v>368</v>
      </c>
      <c r="B194" s="45"/>
    </row>
    <row r="195" spans="1:5" x14ac:dyDescent="0.2">
      <c r="A195" s="44" t="s">
        <v>369</v>
      </c>
      <c r="B195" s="79">
        <f>2530.68</f>
        <v>2530.6799999999998</v>
      </c>
    </row>
    <row r="196" spans="1:5" x14ac:dyDescent="0.2">
      <c r="A196" s="44" t="s">
        <v>370</v>
      </c>
      <c r="B196" s="79">
        <f>8742.68</f>
        <v>8742.68</v>
      </c>
    </row>
    <row r="197" spans="1:5" x14ac:dyDescent="0.2">
      <c r="A197" s="44" t="s">
        <v>371</v>
      </c>
      <c r="B197" s="78">
        <f>((B194)+(B195))+(B196)</f>
        <v>11273.36</v>
      </c>
      <c r="E197" s="37" t="s">
        <v>167</v>
      </c>
    </row>
    <row r="198" spans="1:5" x14ac:dyDescent="0.2">
      <c r="A198" s="44" t="s">
        <v>372</v>
      </c>
      <c r="B198" s="108">
        <f>18196.93</f>
        <v>18196.93</v>
      </c>
      <c r="E198" s="37" t="s">
        <v>633</v>
      </c>
    </row>
    <row r="199" spans="1:5" x14ac:dyDescent="0.2">
      <c r="A199" s="44" t="s">
        <v>373</v>
      </c>
      <c r="B199" s="45"/>
    </row>
    <row r="200" spans="1:5" x14ac:dyDescent="0.2">
      <c r="A200" s="44" t="s">
        <v>374</v>
      </c>
      <c r="B200" s="77">
        <f>2065.86</f>
        <v>2065.86</v>
      </c>
      <c r="E200" s="37" t="s">
        <v>162</v>
      </c>
    </row>
    <row r="201" spans="1:5" x14ac:dyDescent="0.2">
      <c r="A201" s="44" t="s">
        <v>375</v>
      </c>
      <c r="B201" s="77">
        <f>3041.39</f>
        <v>3041.39</v>
      </c>
      <c r="E201" s="37" t="s">
        <v>163</v>
      </c>
    </row>
    <row r="202" spans="1:5" x14ac:dyDescent="0.2">
      <c r="A202" s="44" t="s">
        <v>376</v>
      </c>
      <c r="B202" s="77">
        <f>1104.5</f>
        <v>1104.5</v>
      </c>
      <c r="E202" s="37" t="s">
        <v>163</v>
      </c>
    </row>
    <row r="203" spans="1:5" x14ac:dyDescent="0.2">
      <c r="A203" s="44" t="s">
        <v>377</v>
      </c>
      <c r="B203" s="77">
        <f>6186.68</f>
        <v>6186.68</v>
      </c>
      <c r="E203" s="37" t="s">
        <v>162</v>
      </c>
    </row>
    <row r="204" spans="1:5" x14ac:dyDescent="0.2">
      <c r="A204" s="44" t="s">
        <v>378</v>
      </c>
      <c r="B204" s="77">
        <f>42465</f>
        <v>42465</v>
      </c>
      <c r="E204" s="37" t="s">
        <v>171</v>
      </c>
    </row>
    <row r="205" spans="1:5" x14ac:dyDescent="0.2">
      <c r="A205" s="44" t="s">
        <v>379</v>
      </c>
      <c r="B205" s="77">
        <f>16767.9</f>
        <v>16767.900000000001</v>
      </c>
      <c r="E205" s="37" t="s">
        <v>161</v>
      </c>
    </row>
    <row r="206" spans="1:5" x14ac:dyDescent="0.2">
      <c r="A206" s="44" t="s">
        <v>380</v>
      </c>
      <c r="B206" s="82">
        <f>((((((B199)+(B200))+(B201))+(B202))+(B203))+(B204))+(B205)</f>
        <v>71631.33</v>
      </c>
    </row>
    <row r="207" spans="1:5" x14ac:dyDescent="0.2">
      <c r="A207" s="44" t="s">
        <v>381</v>
      </c>
      <c r="B207" s="45"/>
    </row>
    <row r="208" spans="1:5" x14ac:dyDescent="0.2">
      <c r="A208" s="44" t="s">
        <v>382</v>
      </c>
      <c r="B208" s="45"/>
    </row>
    <row r="209" spans="1:5" x14ac:dyDescent="0.2">
      <c r="A209" s="44" t="s">
        <v>383</v>
      </c>
      <c r="B209" s="79">
        <f>867.8</f>
        <v>867.8</v>
      </c>
    </row>
    <row r="210" spans="1:5" x14ac:dyDescent="0.2">
      <c r="A210" s="44" t="s">
        <v>384</v>
      </c>
      <c r="B210" s="79">
        <f>42.58</f>
        <v>42.58</v>
      </c>
    </row>
    <row r="211" spans="1:5" x14ac:dyDescent="0.2">
      <c r="A211" s="44" t="s">
        <v>385</v>
      </c>
      <c r="B211" s="78">
        <f>((B208)+(B209))+(B210)</f>
        <v>910.38</v>
      </c>
      <c r="E211" s="37" t="s">
        <v>581</v>
      </c>
    </row>
    <row r="212" spans="1:5" x14ac:dyDescent="0.2">
      <c r="A212" s="44" t="s">
        <v>386</v>
      </c>
      <c r="B212" s="77">
        <f>35115</f>
        <v>35115</v>
      </c>
      <c r="E212" s="37" t="s">
        <v>166</v>
      </c>
    </row>
    <row r="213" spans="1:5" x14ac:dyDescent="0.2">
      <c r="A213" s="44" t="s">
        <v>387</v>
      </c>
      <c r="B213" s="77">
        <f>591</f>
        <v>591</v>
      </c>
      <c r="E213" s="37" t="s">
        <v>162</v>
      </c>
    </row>
    <row r="214" spans="1:5" x14ac:dyDescent="0.2">
      <c r="A214" s="44" t="s">
        <v>388</v>
      </c>
      <c r="B214" s="77">
        <f>2983.2</f>
        <v>2983.2</v>
      </c>
      <c r="E214" s="37" t="s">
        <v>170</v>
      </c>
    </row>
    <row r="215" spans="1:5" x14ac:dyDescent="0.2">
      <c r="A215" s="44" t="s">
        <v>389</v>
      </c>
      <c r="B215" s="77">
        <f>4960.33</f>
        <v>4960.33</v>
      </c>
      <c r="E215" s="37" t="s">
        <v>129</v>
      </c>
    </row>
    <row r="216" spans="1:5" x14ac:dyDescent="0.2">
      <c r="A216" s="44" t="s">
        <v>390</v>
      </c>
      <c r="B216" s="79">
        <f>0</f>
        <v>0</v>
      </c>
    </row>
    <row r="217" spans="1:5" x14ac:dyDescent="0.2">
      <c r="A217" s="44" t="s">
        <v>391</v>
      </c>
      <c r="B217" s="45"/>
    </row>
    <row r="218" spans="1:5" x14ac:dyDescent="0.2">
      <c r="A218" s="44" t="s">
        <v>392</v>
      </c>
      <c r="B218" s="79">
        <f>0</f>
        <v>0</v>
      </c>
    </row>
    <row r="219" spans="1:5" x14ac:dyDescent="0.2">
      <c r="A219" s="44" t="s">
        <v>393</v>
      </c>
      <c r="B219" s="82">
        <f>(B217)+(B218)</f>
        <v>0</v>
      </c>
    </row>
    <row r="220" spans="1:5" x14ac:dyDescent="0.2">
      <c r="A220" s="44" t="s">
        <v>394</v>
      </c>
      <c r="B220" s="79">
        <f>5126.92</f>
        <v>5126.92</v>
      </c>
    </row>
    <row r="221" spans="1:5" x14ac:dyDescent="0.2">
      <c r="A221" s="44" t="s">
        <v>395</v>
      </c>
      <c r="B221" s="79">
        <f>297</f>
        <v>297</v>
      </c>
    </row>
    <row r="222" spans="1:5" x14ac:dyDescent="0.2">
      <c r="A222" s="44" t="s">
        <v>396</v>
      </c>
      <c r="B222" s="78">
        <f>(((B216)+(B219))+(B220))+(B221)</f>
        <v>5423.92</v>
      </c>
      <c r="E222" s="37" t="s">
        <v>165</v>
      </c>
    </row>
    <row r="223" spans="1:5" x14ac:dyDescent="0.2">
      <c r="A223" s="44" t="s">
        <v>397</v>
      </c>
      <c r="B223" s="77">
        <f>191.66</f>
        <v>191.66</v>
      </c>
      <c r="E223" s="37" t="s">
        <v>169</v>
      </c>
    </row>
    <row r="224" spans="1:5" x14ac:dyDescent="0.2">
      <c r="A224" s="44" t="s">
        <v>398</v>
      </c>
      <c r="B224" s="77">
        <f>423.75</f>
        <v>423.75</v>
      </c>
      <c r="E224" s="37" t="s">
        <v>157</v>
      </c>
    </row>
    <row r="225" spans="1:5" x14ac:dyDescent="0.2">
      <c r="A225" s="44" t="s">
        <v>399</v>
      </c>
      <c r="B225" s="77">
        <f>6400.99</f>
        <v>6400.99</v>
      </c>
      <c r="E225" s="37" t="s">
        <v>156</v>
      </c>
    </row>
    <row r="226" spans="1:5" x14ac:dyDescent="0.2">
      <c r="A226" s="44" t="s">
        <v>400</v>
      </c>
      <c r="B226" s="82">
        <f>(((((((((B207)+(B211))+(B212))+(B213))+(B214))+(B215))+(B222))+(B223))+(B224))+(B225)</f>
        <v>57000.229999999996</v>
      </c>
    </row>
    <row r="227" spans="1:5" x14ac:dyDescent="0.2">
      <c r="A227" s="44" t="s">
        <v>401</v>
      </c>
      <c r="B227" s="77">
        <f>1500</f>
        <v>1500</v>
      </c>
      <c r="E227" s="37" t="s">
        <v>169</v>
      </c>
    </row>
    <row r="228" spans="1:5" x14ac:dyDescent="0.2">
      <c r="A228" s="44" t="s">
        <v>402</v>
      </c>
      <c r="B228" s="45"/>
    </row>
    <row r="229" spans="1:5" x14ac:dyDescent="0.2">
      <c r="A229" s="44" t="s">
        <v>403</v>
      </c>
      <c r="B229" s="79">
        <f>0</f>
        <v>0</v>
      </c>
    </row>
    <row r="230" spans="1:5" x14ac:dyDescent="0.2">
      <c r="A230" s="44" t="s">
        <v>404</v>
      </c>
      <c r="B230" s="79">
        <f>0</f>
        <v>0</v>
      </c>
    </row>
    <row r="231" spans="1:5" x14ac:dyDescent="0.2">
      <c r="A231" s="44" t="s">
        <v>405</v>
      </c>
      <c r="B231" s="79">
        <f>0</f>
        <v>0</v>
      </c>
    </row>
    <row r="232" spans="1:5" x14ac:dyDescent="0.2">
      <c r="A232" s="44" t="s">
        <v>406</v>
      </c>
      <c r="B232" s="82">
        <f>(((B228)+(B229))+(B230))+(B231)</f>
        <v>0</v>
      </c>
    </row>
    <row r="233" spans="1:5" x14ac:dyDescent="0.2">
      <c r="A233" s="44" t="s">
        <v>407</v>
      </c>
      <c r="B233" s="45"/>
    </row>
    <row r="234" spans="1:5" x14ac:dyDescent="0.2">
      <c r="A234" s="44" t="s">
        <v>408</v>
      </c>
      <c r="B234" s="79">
        <f>0</f>
        <v>0</v>
      </c>
    </row>
    <row r="235" spans="1:5" x14ac:dyDescent="0.2">
      <c r="A235" s="44" t="s">
        <v>409</v>
      </c>
      <c r="B235" s="82">
        <f>(B233)+(B234)</f>
        <v>0</v>
      </c>
    </row>
    <row r="236" spans="1:5" x14ac:dyDescent="0.2">
      <c r="A236" s="44" t="s">
        <v>410</v>
      </c>
      <c r="B236" s="45"/>
    </row>
    <row r="237" spans="1:5" x14ac:dyDescent="0.2">
      <c r="A237" s="44" t="s">
        <v>411</v>
      </c>
      <c r="B237" s="79">
        <f>0</f>
        <v>0</v>
      </c>
    </row>
    <row r="238" spans="1:5" x14ac:dyDescent="0.2">
      <c r="A238" s="44" t="s">
        <v>412</v>
      </c>
      <c r="B238" s="79">
        <f>0</f>
        <v>0</v>
      </c>
    </row>
    <row r="239" spans="1:5" x14ac:dyDescent="0.2">
      <c r="A239" s="44" t="s">
        <v>413</v>
      </c>
      <c r="B239" s="77">
        <f>18976.95</f>
        <v>18976.95</v>
      </c>
      <c r="D239" s="37" t="s">
        <v>135</v>
      </c>
      <c r="E239" s="37" t="s">
        <v>150</v>
      </c>
    </row>
    <row r="240" spans="1:5" x14ac:dyDescent="0.2">
      <c r="A240" s="44" t="s">
        <v>414</v>
      </c>
      <c r="B240" s="79">
        <f>0</f>
        <v>0</v>
      </c>
    </row>
    <row r="241" spans="1:5" x14ac:dyDescent="0.2">
      <c r="A241" s="44" t="s">
        <v>415</v>
      </c>
      <c r="B241" s="79">
        <f>0</f>
        <v>0</v>
      </c>
    </row>
    <row r="242" spans="1:5" x14ac:dyDescent="0.2">
      <c r="A242" s="44" t="s">
        <v>416</v>
      </c>
      <c r="B242" s="82">
        <f>(((((B236)+(B237))+(B238))+(B239))+(B240))+(B241)</f>
        <v>18976.95</v>
      </c>
    </row>
    <row r="243" spans="1:5" x14ac:dyDescent="0.2">
      <c r="A243" s="44" t="s">
        <v>417</v>
      </c>
      <c r="B243" s="45"/>
    </row>
    <row r="244" spans="1:5" x14ac:dyDescent="0.2">
      <c r="A244" s="44" t="s">
        <v>418</v>
      </c>
      <c r="B244" s="79">
        <f>15251.47</f>
        <v>15251.47</v>
      </c>
    </row>
    <row r="245" spans="1:5" x14ac:dyDescent="0.2">
      <c r="A245" s="44" t="s">
        <v>419</v>
      </c>
      <c r="B245" s="79">
        <f>1216.12</f>
        <v>1216.1199999999999</v>
      </c>
    </row>
    <row r="246" spans="1:5" x14ac:dyDescent="0.2">
      <c r="A246" s="44" t="s">
        <v>420</v>
      </c>
      <c r="B246" s="78">
        <f>((B243)+(B244))+(B245)</f>
        <v>16467.59</v>
      </c>
      <c r="E246" s="37" t="s">
        <v>164</v>
      </c>
    </row>
    <row r="247" spans="1:5" x14ac:dyDescent="0.2">
      <c r="A247" s="44" t="s">
        <v>421</v>
      </c>
      <c r="B247" s="77">
        <f>891.14</f>
        <v>891.14</v>
      </c>
      <c r="E247" s="37" t="s">
        <v>163</v>
      </c>
    </row>
    <row r="248" spans="1:5" x14ac:dyDescent="0.2">
      <c r="A248" s="44" t="s">
        <v>422</v>
      </c>
      <c r="B248" s="45"/>
    </row>
    <row r="249" spans="1:5" x14ac:dyDescent="0.2">
      <c r="A249" s="44" t="s">
        <v>423</v>
      </c>
      <c r="B249" s="77">
        <f>148410.2</f>
        <v>148410.20000000001</v>
      </c>
      <c r="E249" s="37" t="s">
        <v>139</v>
      </c>
    </row>
    <row r="250" spans="1:5" x14ac:dyDescent="0.2">
      <c r="A250" s="44" t="s">
        <v>424</v>
      </c>
      <c r="B250" s="77">
        <f>23783.24</f>
        <v>23783.24</v>
      </c>
      <c r="E250" s="37" t="s">
        <v>139</v>
      </c>
    </row>
    <row r="251" spans="1:5" x14ac:dyDescent="0.2">
      <c r="A251" s="44" t="s">
        <v>425</v>
      </c>
      <c r="B251" s="45"/>
    </row>
    <row r="252" spans="1:5" x14ac:dyDescent="0.2">
      <c r="A252" s="44" t="s">
        <v>426</v>
      </c>
      <c r="B252" s="79">
        <f>21298.35</f>
        <v>21298.35</v>
      </c>
    </row>
    <row r="253" spans="1:5" x14ac:dyDescent="0.2">
      <c r="A253" s="44" t="s">
        <v>427</v>
      </c>
      <c r="B253" s="79">
        <f>14770.78</f>
        <v>14770.78</v>
      </c>
    </row>
    <row r="254" spans="1:5" x14ac:dyDescent="0.2">
      <c r="A254" s="44" t="s">
        <v>428</v>
      </c>
      <c r="B254" s="78">
        <f>((B251)+(B252))+(B253)</f>
        <v>36069.129999999997</v>
      </c>
      <c r="E254" s="37" t="s">
        <v>139</v>
      </c>
    </row>
    <row r="255" spans="1:5" x14ac:dyDescent="0.2">
      <c r="A255" s="44" t="s">
        <v>429</v>
      </c>
      <c r="B255" s="77">
        <f>500.08</f>
        <v>500.08</v>
      </c>
      <c r="E255" s="37" t="s">
        <v>139</v>
      </c>
    </row>
    <row r="256" spans="1:5" x14ac:dyDescent="0.2">
      <c r="A256" s="44" t="s">
        <v>430</v>
      </c>
      <c r="B256" s="77">
        <f>36175.86</f>
        <v>36175.86</v>
      </c>
      <c r="E256" s="37" t="s">
        <v>139</v>
      </c>
    </row>
    <row r="257" spans="1:5" x14ac:dyDescent="0.2">
      <c r="A257" s="44" t="s">
        <v>431</v>
      </c>
      <c r="B257" s="77">
        <f>73542.83</f>
        <v>73542.83</v>
      </c>
      <c r="E257" s="37" t="s">
        <v>139</v>
      </c>
    </row>
    <row r="258" spans="1:5" x14ac:dyDescent="0.2">
      <c r="A258" s="44" t="s">
        <v>432</v>
      </c>
      <c r="B258" s="77">
        <f>16448.87</f>
        <v>16448.87</v>
      </c>
      <c r="E258" s="37" t="s">
        <v>139</v>
      </c>
    </row>
    <row r="259" spans="1:5" x14ac:dyDescent="0.2">
      <c r="A259" s="44" t="s">
        <v>433</v>
      </c>
      <c r="B259" s="64">
        <f>34611.22</f>
        <v>34611.22</v>
      </c>
      <c r="D259" s="37" t="s">
        <v>132</v>
      </c>
    </row>
    <row r="260" spans="1:5" x14ac:dyDescent="0.2">
      <c r="A260" s="44" t="s">
        <v>434</v>
      </c>
      <c r="B260" s="82">
        <f>((((((((B248)+(B249))+(B250))+(B254))+(B255))+(B256))+(B257))+(B258))+(B259)</f>
        <v>369541.43000000005</v>
      </c>
    </row>
    <row r="261" spans="1:5" x14ac:dyDescent="0.2">
      <c r="A261" s="44" t="s">
        <v>435</v>
      </c>
      <c r="B261" s="45"/>
    </row>
    <row r="262" spans="1:5" x14ac:dyDescent="0.2">
      <c r="A262" s="44" t="s">
        <v>436</v>
      </c>
      <c r="B262" s="77">
        <f>131.33</f>
        <v>131.33000000000001</v>
      </c>
      <c r="D262" s="37" t="s">
        <v>135</v>
      </c>
      <c r="E262" s="37" t="s">
        <v>141</v>
      </c>
    </row>
    <row r="263" spans="1:5" x14ac:dyDescent="0.2">
      <c r="A263" s="44" t="s">
        <v>437</v>
      </c>
      <c r="B263" s="77">
        <f>19.68</f>
        <v>19.68</v>
      </c>
      <c r="D263" s="37" t="s">
        <v>135</v>
      </c>
      <c r="E263" s="37" t="s">
        <v>141</v>
      </c>
    </row>
    <row r="264" spans="1:5" x14ac:dyDescent="0.2">
      <c r="A264" s="44" t="s">
        <v>438</v>
      </c>
      <c r="B264" s="45"/>
    </row>
    <row r="265" spans="1:5" x14ac:dyDescent="0.2">
      <c r="A265" s="44" t="s">
        <v>439</v>
      </c>
      <c r="B265" s="79">
        <f>232.61</f>
        <v>232.61</v>
      </c>
    </row>
    <row r="266" spans="1:5" x14ac:dyDescent="0.2">
      <c r="A266" s="44" t="s">
        <v>440</v>
      </c>
      <c r="B266" s="78">
        <f>(B264)+(B265)</f>
        <v>232.61</v>
      </c>
      <c r="D266" s="37" t="s">
        <v>135</v>
      </c>
      <c r="E266" s="37" t="s">
        <v>141</v>
      </c>
    </row>
    <row r="267" spans="1:5" x14ac:dyDescent="0.2">
      <c r="A267" s="44" t="s">
        <v>441</v>
      </c>
      <c r="B267" s="77">
        <f>590.71</f>
        <v>590.71</v>
      </c>
      <c r="D267" s="37" t="s">
        <v>135</v>
      </c>
      <c r="E267" s="37" t="s">
        <v>141</v>
      </c>
    </row>
    <row r="268" spans="1:5" x14ac:dyDescent="0.2">
      <c r="A268" s="44" t="s">
        <v>442</v>
      </c>
      <c r="B268" s="77">
        <f>6302.11</f>
        <v>6302.11</v>
      </c>
      <c r="D268" s="37" t="s">
        <v>135</v>
      </c>
      <c r="E268" s="37" t="s">
        <v>141</v>
      </c>
    </row>
    <row r="269" spans="1:5" x14ac:dyDescent="0.2">
      <c r="A269" s="44" t="s">
        <v>443</v>
      </c>
      <c r="B269" s="77">
        <f>4118</f>
        <v>4118</v>
      </c>
      <c r="D269" s="37" t="s">
        <v>135</v>
      </c>
      <c r="E269" s="37" t="s">
        <v>141</v>
      </c>
    </row>
    <row r="270" spans="1:5" x14ac:dyDescent="0.2">
      <c r="A270" s="44" t="s">
        <v>444</v>
      </c>
      <c r="B270" s="82">
        <f>((((((B261)+(B262))+(B263))+(B266))+(B267))+(B268))+(B269)</f>
        <v>11394.439999999999</v>
      </c>
    </row>
    <row r="271" spans="1:5" x14ac:dyDescent="0.2">
      <c r="A271" s="44" t="s">
        <v>445</v>
      </c>
      <c r="B271" s="64">
        <f>-34611.22</f>
        <v>-34611.22</v>
      </c>
      <c r="D271" s="37" t="s">
        <v>132</v>
      </c>
    </row>
    <row r="272" spans="1:5" x14ac:dyDescent="0.2">
      <c r="A272" s="44" t="s">
        <v>446</v>
      </c>
      <c r="B272" s="45"/>
    </row>
    <row r="273" spans="1:5" x14ac:dyDescent="0.2">
      <c r="A273" s="44" t="s">
        <v>447</v>
      </c>
      <c r="B273" s="45"/>
    </row>
    <row r="274" spans="1:5" x14ac:dyDescent="0.2">
      <c r="A274" s="44" t="s">
        <v>448</v>
      </c>
      <c r="B274" s="77">
        <f>3999.96</f>
        <v>3999.96</v>
      </c>
      <c r="E274" s="37" t="s">
        <v>144</v>
      </c>
    </row>
    <row r="275" spans="1:5" x14ac:dyDescent="0.2">
      <c r="A275" s="44" t="s">
        <v>449</v>
      </c>
      <c r="B275" s="77">
        <f>15000</f>
        <v>15000</v>
      </c>
      <c r="E275" s="37" t="s">
        <v>144</v>
      </c>
    </row>
    <row r="276" spans="1:5" x14ac:dyDescent="0.2">
      <c r="A276" s="44" t="s">
        <v>450</v>
      </c>
      <c r="B276" s="82">
        <f>((B273)+(B274))+(B275)</f>
        <v>18999.96</v>
      </c>
    </row>
    <row r="277" spans="1:5" x14ac:dyDescent="0.2">
      <c r="A277" s="44" t="s">
        <v>451</v>
      </c>
      <c r="B277" s="82">
        <f>(B272)+(B276)</f>
        <v>18999.96</v>
      </c>
    </row>
    <row r="278" spans="1:5" x14ac:dyDescent="0.2">
      <c r="A278" s="44" t="s">
        <v>452</v>
      </c>
      <c r="B278" s="45"/>
    </row>
    <row r="279" spans="1:5" x14ac:dyDescent="0.2">
      <c r="A279" s="44" t="s">
        <v>453</v>
      </c>
      <c r="B279" s="77">
        <f>18000.58</f>
        <v>18000.580000000002</v>
      </c>
      <c r="E279" s="37" t="s">
        <v>145</v>
      </c>
    </row>
    <row r="280" spans="1:5" x14ac:dyDescent="0.2">
      <c r="A280" s="44" t="s">
        <v>454</v>
      </c>
      <c r="B280" s="77">
        <f>24132.13</f>
        <v>24132.13</v>
      </c>
      <c r="E280" s="37" t="s">
        <v>136</v>
      </c>
    </row>
    <row r="281" spans="1:5" x14ac:dyDescent="0.2">
      <c r="A281" s="44" t="s">
        <v>455</v>
      </c>
      <c r="B281" s="77">
        <f>50020.4</f>
        <v>50020.4</v>
      </c>
      <c r="E281" s="37" t="s">
        <v>136</v>
      </c>
    </row>
    <row r="282" spans="1:5" x14ac:dyDescent="0.2">
      <c r="A282" s="44" t="s">
        <v>456</v>
      </c>
      <c r="B282" s="77">
        <f>8994</f>
        <v>8994</v>
      </c>
      <c r="E282" s="37" t="s">
        <v>145</v>
      </c>
    </row>
    <row r="283" spans="1:5" x14ac:dyDescent="0.2">
      <c r="A283" s="44" t="s">
        <v>457</v>
      </c>
      <c r="B283" s="82">
        <f>((((B278)+(B279))+(B280))+(B281))+(B282)</f>
        <v>101147.11000000002</v>
      </c>
    </row>
    <row r="284" spans="1:5" x14ac:dyDescent="0.2">
      <c r="A284" s="44" t="s">
        <v>458</v>
      </c>
      <c r="B284" s="45"/>
    </row>
    <row r="285" spans="1:5" x14ac:dyDescent="0.2">
      <c r="A285" s="44" t="s">
        <v>459</v>
      </c>
      <c r="B285" s="77">
        <f>945.91</f>
        <v>945.91</v>
      </c>
      <c r="E285" s="37" t="s">
        <v>137</v>
      </c>
    </row>
    <row r="286" spans="1:5" x14ac:dyDescent="0.2">
      <c r="A286" s="44" t="s">
        <v>460</v>
      </c>
      <c r="B286" s="77">
        <f>2399.82</f>
        <v>2399.8200000000002</v>
      </c>
      <c r="E286" s="37" t="s">
        <v>129</v>
      </c>
    </row>
    <row r="287" spans="1:5" x14ac:dyDescent="0.2">
      <c r="A287" s="44" t="s">
        <v>461</v>
      </c>
      <c r="B287" s="77">
        <f>4687.58</f>
        <v>4687.58</v>
      </c>
      <c r="E287" s="37" t="s">
        <v>136</v>
      </c>
    </row>
    <row r="288" spans="1:5" x14ac:dyDescent="0.2">
      <c r="A288" s="44" t="s">
        <v>462</v>
      </c>
      <c r="B288" s="77">
        <f>7740.93</f>
        <v>7740.93</v>
      </c>
      <c r="E288" s="37" t="s">
        <v>145</v>
      </c>
    </row>
    <row r="289" spans="1:5" x14ac:dyDescent="0.2">
      <c r="A289" s="44" t="s">
        <v>463</v>
      </c>
      <c r="B289" s="82">
        <f>((((B284)+(B285))+(B286))+(B287))+(B288)</f>
        <v>15774.24</v>
      </c>
    </row>
    <row r="290" spans="1:5" x14ac:dyDescent="0.2">
      <c r="A290" s="44" t="s">
        <v>464</v>
      </c>
      <c r="B290" s="77">
        <f>550</f>
        <v>550</v>
      </c>
      <c r="E290" s="37" t="s">
        <v>145</v>
      </c>
    </row>
    <row r="291" spans="1:5" x14ac:dyDescent="0.2">
      <c r="A291" s="44" t="s">
        <v>465</v>
      </c>
      <c r="B291" s="45"/>
    </row>
    <row r="292" spans="1:5" x14ac:dyDescent="0.2">
      <c r="A292" s="44" t="s">
        <v>466</v>
      </c>
      <c r="B292" s="45"/>
    </row>
    <row r="293" spans="1:5" x14ac:dyDescent="0.2">
      <c r="A293" s="44" t="s">
        <v>467</v>
      </c>
      <c r="B293" s="77">
        <f>13965.44</f>
        <v>13965.44</v>
      </c>
      <c r="E293" s="37" t="s">
        <v>144</v>
      </c>
    </row>
    <row r="294" spans="1:5" x14ac:dyDescent="0.2">
      <c r="A294" s="44" t="s">
        <v>468</v>
      </c>
      <c r="B294" s="77">
        <f>10000</f>
        <v>10000</v>
      </c>
      <c r="E294" s="37" t="s">
        <v>144</v>
      </c>
    </row>
    <row r="295" spans="1:5" x14ac:dyDescent="0.2">
      <c r="A295" s="44" t="s">
        <v>469</v>
      </c>
      <c r="B295" s="82">
        <f>((B292)+(B293))+(B294)</f>
        <v>23965.440000000002</v>
      </c>
    </row>
    <row r="296" spans="1:5" x14ac:dyDescent="0.2">
      <c r="A296" s="44" t="s">
        <v>470</v>
      </c>
      <c r="B296" s="82">
        <f>(B291)+(B295)</f>
        <v>23965.440000000002</v>
      </c>
    </row>
    <row r="297" spans="1:5" x14ac:dyDescent="0.2">
      <c r="A297" s="44" t="s">
        <v>471</v>
      </c>
      <c r="B297" s="79">
        <f>6030.6</f>
        <v>6030.6</v>
      </c>
    </row>
    <row r="298" spans="1:5" x14ac:dyDescent="0.2">
      <c r="A298" s="44" t="s">
        <v>472</v>
      </c>
      <c r="B298" s="79">
        <f>1640</f>
        <v>1640</v>
      </c>
    </row>
    <row r="299" spans="1:5" x14ac:dyDescent="0.2">
      <c r="A299" s="44" t="s">
        <v>473</v>
      </c>
      <c r="B299" s="79">
        <f>4852.5</f>
        <v>4852.5</v>
      </c>
    </row>
    <row r="300" spans="1:5" x14ac:dyDescent="0.2">
      <c r="A300" s="44" t="s">
        <v>474</v>
      </c>
      <c r="B300" s="78">
        <f>((B297)+(B298))+(B299)</f>
        <v>12523.1</v>
      </c>
      <c r="E300" s="37" t="s">
        <v>146</v>
      </c>
    </row>
    <row r="301" spans="1:5" x14ac:dyDescent="0.2">
      <c r="A301" s="44" t="s">
        <v>475</v>
      </c>
      <c r="B301" s="45"/>
    </row>
    <row r="302" spans="1:5" x14ac:dyDescent="0.2">
      <c r="A302" s="44" t="s">
        <v>476</v>
      </c>
      <c r="B302" s="77">
        <f>9967.73</f>
        <v>9967.73</v>
      </c>
      <c r="E302" s="37" t="s">
        <v>155</v>
      </c>
    </row>
    <row r="303" spans="1:5" x14ac:dyDescent="0.2">
      <c r="A303" s="44" t="s">
        <v>477</v>
      </c>
      <c r="B303" s="77">
        <f>9668.34</f>
        <v>9668.34</v>
      </c>
      <c r="E303" s="37" t="s">
        <v>168</v>
      </c>
    </row>
    <row r="304" spans="1:5" x14ac:dyDescent="0.2">
      <c r="A304" s="44" t="s">
        <v>478</v>
      </c>
      <c r="B304" s="77">
        <f>168.73</f>
        <v>168.73</v>
      </c>
      <c r="E304" s="37" t="s">
        <v>158</v>
      </c>
    </row>
    <row r="305" spans="1:2" x14ac:dyDescent="0.2">
      <c r="A305" s="44" t="s">
        <v>479</v>
      </c>
      <c r="B305" s="82">
        <f>(((B301)+(B302))+(B303))+(B304)</f>
        <v>19804.8</v>
      </c>
    </row>
    <row r="306" spans="1:2" x14ac:dyDescent="0.2">
      <c r="A306" s="44" t="s">
        <v>480</v>
      </c>
      <c r="B306" s="47">
        <f>(((((((((((((((((((((((((B120)+(B158))+(B173))+(B174))+(B188))+(B193))+(B197))+(B198))+(B206))+(B226))+(B227))+(B232))+(B235))+(B242))+(B246))+(B247))+(B260))+(B270))+(B271))+(B277))+(B283))+(B289))+(B290))+(B296))+(B300))+(B305)</f>
        <v>1566620.31</v>
      </c>
    </row>
    <row r="307" spans="1:2" s="76" customFormat="1" ht="17" thickBot="1" x14ac:dyDescent="0.25">
      <c r="A307" s="83" t="s">
        <v>481</v>
      </c>
      <c r="B307" s="87">
        <f>(B104)-(B306)</f>
        <v>368813.74</v>
      </c>
    </row>
    <row r="308" spans="1:2" x14ac:dyDescent="0.2">
      <c r="A308" s="44" t="s">
        <v>482</v>
      </c>
      <c r="B308" s="45"/>
    </row>
    <row r="309" spans="1:2" x14ac:dyDescent="0.2">
      <c r="A309" s="44" t="s">
        <v>483</v>
      </c>
      <c r="B309" s="46">
        <f>118700</f>
        <v>118700</v>
      </c>
    </row>
    <row r="310" spans="1:2" x14ac:dyDescent="0.2">
      <c r="A310" s="44" t="s">
        <v>484</v>
      </c>
      <c r="B310" s="45"/>
    </row>
    <row r="311" spans="1:2" x14ac:dyDescent="0.2">
      <c r="A311" s="44" t="s">
        <v>485</v>
      </c>
      <c r="B311" s="45"/>
    </row>
    <row r="312" spans="1:2" x14ac:dyDescent="0.2">
      <c r="A312" s="44" t="s">
        <v>486</v>
      </c>
      <c r="B312" s="46">
        <f>1121.73</f>
        <v>1121.73</v>
      </c>
    </row>
    <row r="313" spans="1:2" x14ac:dyDescent="0.2">
      <c r="A313" s="44" t="s">
        <v>487</v>
      </c>
      <c r="B313" s="46">
        <f>-8002.02</f>
        <v>-8002.02</v>
      </c>
    </row>
    <row r="314" spans="1:2" x14ac:dyDescent="0.2">
      <c r="A314" s="44" t="s">
        <v>488</v>
      </c>
      <c r="B314" s="47">
        <f>((B311)+(B312))+(B313)</f>
        <v>-6880.2900000000009</v>
      </c>
    </row>
    <row r="315" spans="1:2" x14ac:dyDescent="0.2">
      <c r="A315" s="44" t="s">
        <v>489</v>
      </c>
      <c r="B315" s="45"/>
    </row>
    <row r="316" spans="1:2" x14ac:dyDescent="0.2">
      <c r="A316" s="44" t="s">
        <v>490</v>
      </c>
      <c r="B316" s="46">
        <f>-17649.43</f>
        <v>-17649.43</v>
      </c>
    </row>
    <row r="317" spans="1:2" x14ac:dyDescent="0.2">
      <c r="A317" s="44" t="s">
        <v>491</v>
      </c>
      <c r="B317" s="46">
        <f>2190.2</f>
        <v>2190.1999999999998</v>
      </c>
    </row>
    <row r="318" spans="1:2" x14ac:dyDescent="0.2">
      <c r="A318" s="44" t="s">
        <v>492</v>
      </c>
      <c r="B318" s="47">
        <f>((B315)+(B316))+(B317)</f>
        <v>-15459.23</v>
      </c>
    </row>
    <row r="319" spans="1:2" x14ac:dyDescent="0.2">
      <c r="A319" s="44" t="s">
        <v>493</v>
      </c>
      <c r="B319" s="45"/>
    </row>
    <row r="320" spans="1:2" x14ac:dyDescent="0.2">
      <c r="A320" s="44" t="s">
        <v>494</v>
      </c>
      <c r="B320" s="46">
        <f>6251.14</f>
        <v>6251.14</v>
      </c>
    </row>
    <row r="321" spans="1:2" x14ac:dyDescent="0.2">
      <c r="A321" s="44" t="s">
        <v>495</v>
      </c>
      <c r="B321" s="46">
        <f>-56089.85</f>
        <v>-56089.85</v>
      </c>
    </row>
    <row r="322" spans="1:2" x14ac:dyDescent="0.2">
      <c r="A322" s="44" t="s">
        <v>496</v>
      </c>
      <c r="B322" s="47">
        <f>((B319)+(B320))+(B321)</f>
        <v>-49838.71</v>
      </c>
    </row>
    <row r="323" spans="1:2" x14ac:dyDescent="0.2">
      <c r="A323" s="44" t="s">
        <v>497</v>
      </c>
      <c r="B323" s="45"/>
    </row>
    <row r="324" spans="1:2" x14ac:dyDescent="0.2">
      <c r="A324" s="44" t="s">
        <v>498</v>
      </c>
      <c r="B324" s="46">
        <f>-17666.57</f>
        <v>-17666.57</v>
      </c>
    </row>
    <row r="325" spans="1:2" x14ac:dyDescent="0.2">
      <c r="A325" s="44" t="s">
        <v>499</v>
      </c>
      <c r="B325" s="46">
        <f>2345.24</f>
        <v>2345.2399999999998</v>
      </c>
    </row>
    <row r="326" spans="1:2" x14ac:dyDescent="0.2">
      <c r="A326" s="44" t="s">
        <v>500</v>
      </c>
      <c r="B326" s="47">
        <f>((B323)+(B324))+(B325)</f>
        <v>-15321.33</v>
      </c>
    </row>
    <row r="327" spans="1:2" x14ac:dyDescent="0.2">
      <c r="A327" s="44" t="s">
        <v>501</v>
      </c>
      <c r="B327" s="45"/>
    </row>
    <row r="328" spans="1:2" x14ac:dyDescent="0.2">
      <c r="A328" s="44" t="s">
        <v>502</v>
      </c>
      <c r="B328" s="46">
        <f>-27665.02</f>
        <v>-27665.02</v>
      </c>
    </row>
    <row r="329" spans="1:2" x14ac:dyDescent="0.2">
      <c r="A329" s="44" t="s">
        <v>503</v>
      </c>
      <c r="B329" s="46">
        <f>3869.43</f>
        <v>3869.43</v>
      </c>
    </row>
    <row r="330" spans="1:2" x14ac:dyDescent="0.2">
      <c r="A330" s="44" t="s">
        <v>504</v>
      </c>
      <c r="B330" s="47">
        <f>((B327)+(B328))+(B329)</f>
        <v>-23795.59</v>
      </c>
    </row>
    <row r="331" spans="1:2" x14ac:dyDescent="0.2">
      <c r="A331" s="44" t="s">
        <v>505</v>
      </c>
      <c r="B331" s="45"/>
    </row>
    <row r="332" spans="1:2" x14ac:dyDescent="0.2">
      <c r="A332" s="44" t="s">
        <v>506</v>
      </c>
      <c r="B332" s="46">
        <f>-13473.83</f>
        <v>-13473.83</v>
      </c>
    </row>
    <row r="333" spans="1:2" x14ac:dyDescent="0.2">
      <c r="A333" s="44" t="s">
        <v>507</v>
      </c>
      <c r="B333" s="46">
        <f>4617.89</f>
        <v>4617.8900000000003</v>
      </c>
    </row>
    <row r="334" spans="1:2" x14ac:dyDescent="0.2">
      <c r="A334" s="44" t="s">
        <v>508</v>
      </c>
      <c r="B334" s="47">
        <f>((B331)+(B332))+(B333)</f>
        <v>-8855.9399999999987</v>
      </c>
    </row>
    <row r="335" spans="1:2" x14ac:dyDescent="0.2">
      <c r="A335" s="44" t="s">
        <v>509</v>
      </c>
      <c r="B335" s="45"/>
    </row>
    <row r="336" spans="1:2" x14ac:dyDescent="0.2">
      <c r="A336" s="44" t="s">
        <v>510</v>
      </c>
      <c r="B336" s="46">
        <f>3614.26</f>
        <v>3614.26</v>
      </c>
    </row>
    <row r="337" spans="1:4" x14ac:dyDescent="0.2">
      <c r="A337" s="44" t="s">
        <v>511</v>
      </c>
      <c r="B337" s="46">
        <f>-25857.06</f>
        <v>-25857.06</v>
      </c>
    </row>
    <row r="338" spans="1:4" x14ac:dyDescent="0.2">
      <c r="A338" s="44" t="s">
        <v>512</v>
      </c>
      <c r="B338" s="47">
        <f>((B335)+(B336))+(B337)</f>
        <v>-22242.800000000003</v>
      </c>
    </row>
    <row r="339" spans="1:4" x14ac:dyDescent="0.2">
      <c r="A339" s="44" t="s">
        <v>513</v>
      </c>
      <c r="B339" s="45"/>
    </row>
    <row r="340" spans="1:4" x14ac:dyDescent="0.2">
      <c r="A340" s="44" t="s">
        <v>514</v>
      </c>
      <c r="B340" s="46">
        <f>7842.17</f>
        <v>7842.17</v>
      </c>
    </row>
    <row r="341" spans="1:4" x14ac:dyDescent="0.2">
      <c r="A341" s="44" t="s">
        <v>515</v>
      </c>
      <c r="B341" s="46">
        <f>-56330.55</f>
        <v>-56330.55</v>
      </c>
    </row>
    <row r="342" spans="1:4" x14ac:dyDescent="0.2">
      <c r="A342" s="44" t="s">
        <v>516</v>
      </c>
      <c r="B342" s="47">
        <f>((B339)+(B340))+(B341)</f>
        <v>-48488.380000000005</v>
      </c>
    </row>
    <row r="343" spans="1:4" x14ac:dyDescent="0.2">
      <c r="A343" s="44" t="s">
        <v>517</v>
      </c>
      <c r="B343" s="45"/>
    </row>
    <row r="344" spans="1:4" x14ac:dyDescent="0.2">
      <c r="A344" s="44" t="s">
        <v>518</v>
      </c>
      <c r="B344" s="46">
        <f>6232.16</f>
        <v>6232.16</v>
      </c>
    </row>
    <row r="345" spans="1:4" x14ac:dyDescent="0.2">
      <c r="A345" s="44" t="s">
        <v>519</v>
      </c>
      <c r="B345" s="46">
        <f>-46002.98</f>
        <v>-46002.98</v>
      </c>
    </row>
    <row r="346" spans="1:4" x14ac:dyDescent="0.2">
      <c r="A346" s="44" t="s">
        <v>520</v>
      </c>
      <c r="B346" s="47">
        <f>((B343)+(B344))+(B345)</f>
        <v>-39770.820000000007</v>
      </c>
    </row>
    <row r="347" spans="1:4" x14ac:dyDescent="0.2">
      <c r="A347" s="44" t="s">
        <v>521</v>
      </c>
      <c r="B347" s="45"/>
    </row>
    <row r="348" spans="1:4" x14ac:dyDescent="0.2">
      <c r="A348" s="44" t="s">
        <v>522</v>
      </c>
      <c r="B348" s="46">
        <f>158.21</f>
        <v>158.21</v>
      </c>
      <c r="D348" s="37" t="s">
        <v>112</v>
      </c>
    </row>
    <row r="349" spans="1:4" x14ac:dyDescent="0.2">
      <c r="A349" s="44" t="s">
        <v>523</v>
      </c>
      <c r="B349" s="46">
        <f>68.71</f>
        <v>68.709999999999994</v>
      </c>
    </row>
    <row r="350" spans="1:4" x14ac:dyDescent="0.2">
      <c r="A350" s="44" t="s">
        <v>524</v>
      </c>
      <c r="B350" s="47">
        <f>((B347)+(B348))+(B349)</f>
        <v>226.92000000000002</v>
      </c>
    </row>
    <row r="351" spans="1:4" x14ac:dyDescent="0.2">
      <c r="A351" s="44" t="s">
        <v>525</v>
      </c>
      <c r="B351" s="45"/>
    </row>
    <row r="352" spans="1:4" x14ac:dyDescent="0.2">
      <c r="A352" s="44" t="s">
        <v>526</v>
      </c>
      <c r="B352" s="46">
        <f>3107.22</f>
        <v>3107.22</v>
      </c>
    </row>
    <row r="353" spans="1:2" x14ac:dyDescent="0.2">
      <c r="A353" s="44" t="s">
        <v>527</v>
      </c>
      <c r="B353" s="46">
        <f>-24168.72</f>
        <v>-24168.720000000001</v>
      </c>
    </row>
    <row r="354" spans="1:2" x14ac:dyDescent="0.2">
      <c r="A354" s="44" t="s">
        <v>528</v>
      </c>
      <c r="B354" s="47">
        <f>((B351)+(B352))+(B353)</f>
        <v>-21061.5</v>
      </c>
    </row>
    <row r="355" spans="1:2" x14ac:dyDescent="0.2">
      <c r="A355" s="44" t="s">
        <v>529</v>
      </c>
      <c r="B355" s="45"/>
    </row>
    <row r="356" spans="1:2" x14ac:dyDescent="0.2">
      <c r="A356" s="44" t="s">
        <v>530</v>
      </c>
      <c r="B356" s="46">
        <f>4833.07</f>
        <v>4833.07</v>
      </c>
    </row>
    <row r="357" spans="1:2" x14ac:dyDescent="0.2">
      <c r="A357" s="44" t="s">
        <v>531</v>
      </c>
      <c r="B357" s="46">
        <f>-37008.76</f>
        <v>-37008.76</v>
      </c>
    </row>
    <row r="358" spans="1:2" x14ac:dyDescent="0.2">
      <c r="A358" s="44" t="s">
        <v>532</v>
      </c>
      <c r="B358" s="47">
        <f>((B355)+(B356))+(B357)</f>
        <v>-32175.690000000002</v>
      </c>
    </row>
    <row r="359" spans="1:2" x14ac:dyDescent="0.2">
      <c r="A359" s="44" t="s">
        <v>533</v>
      </c>
      <c r="B359" s="45"/>
    </row>
    <row r="360" spans="1:2" x14ac:dyDescent="0.2">
      <c r="A360" s="44" t="s">
        <v>534</v>
      </c>
      <c r="B360" s="46">
        <f>1604.49</f>
        <v>1604.49</v>
      </c>
    </row>
    <row r="361" spans="1:2" x14ac:dyDescent="0.2">
      <c r="A361" s="44" t="s">
        <v>535</v>
      </c>
      <c r="B361" s="46">
        <f>-11483.49</f>
        <v>-11483.49</v>
      </c>
    </row>
    <row r="362" spans="1:2" x14ac:dyDescent="0.2">
      <c r="A362" s="44" t="s">
        <v>536</v>
      </c>
      <c r="B362" s="47">
        <f>((B359)+(B360))+(B361)</f>
        <v>-9879</v>
      </c>
    </row>
    <row r="363" spans="1:2" x14ac:dyDescent="0.2">
      <c r="A363" s="44" t="s">
        <v>537</v>
      </c>
      <c r="B363" s="45"/>
    </row>
    <row r="364" spans="1:2" x14ac:dyDescent="0.2">
      <c r="A364" s="44" t="s">
        <v>538</v>
      </c>
      <c r="B364" s="46">
        <f>4052.88</f>
        <v>4052.88</v>
      </c>
    </row>
    <row r="365" spans="1:2" x14ac:dyDescent="0.2">
      <c r="A365" s="44" t="s">
        <v>539</v>
      </c>
      <c r="B365" s="46">
        <f>-32939.52</f>
        <v>-32939.519999999997</v>
      </c>
    </row>
    <row r="366" spans="1:2" x14ac:dyDescent="0.2">
      <c r="A366" s="44" t="s">
        <v>540</v>
      </c>
      <c r="B366" s="47">
        <f>((B363)+(B364))+(B365)</f>
        <v>-28886.639999999996</v>
      </c>
    </row>
    <row r="367" spans="1:2" x14ac:dyDescent="0.2">
      <c r="A367" s="44" t="s">
        <v>541</v>
      </c>
      <c r="B367" s="45"/>
    </row>
    <row r="368" spans="1:2" x14ac:dyDescent="0.2">
      <c r="A368" s="44" t="s">
        <v>542</v>
      </c>
      <c r="B368" s="46">
        <f>5075.71</f>
        <v>5075.71</v>
      </c>
    </row>
    <row r="369" spans="1:2" x14ac:dyDescent="0.2">
      <c r="A369" s="44" t="s">
        <v>543</v>
      </c>
      <c r="B369" s="46">
        <f>-52597.36</f>
        <v>-52597.36</v>
      </c>
    </row>
    <row r="370" spans="1:2" x14ac:dyDescent="0.2">
      <c r="A370" s="44" t="s">
        <v>544</v>
      </c>
      <c r="B370" s="47">
        <f>((B367)+(B368))+(B369)</f>
        <v>-47521.65</v>
      </c>
    </row>
    <row r="371" spans="1:2" x14ac:dyDescent="0.2">
      <c r="A371" s="44" t="s">
        <v>545</v>
      </c>
      <c r="B371" s="45"/>
    </row>
    <row r="372" spans="1:2" x14ac:dyDescent="0.2">
      <c r="A372" s="44" t="s">
        <v>546</v>
      </c>
      <c r="B372" s="46">
        <f>179.94</f>
        <v>179.94</v>
      </c>
    </row>
    <row r="373" spans="1:2" x14ac:dyDescent="0.2">
      <c r="A373" s="44" t="s">
        <v>547</v>
      </c>
      <c r="B373" s="46">
        <f>-12037.53</f>
        <v>-12037.53</v>
      </c>
    </row>
    <row r="374" spans="1:2" x14ac:dyDescent="0.2">
      <c r="A374" s="44" t="s">
        <v>548</v>
      </c>
      <c r="B374" s="47">
        <f>((B371)+(B372))+(B373)</f>
        <v>-11857.59</v>
      </c>
    </row>
    <row r="375" spans="1:2" x14ac:dyDescent="0.2">
      <c r="A375" s="44" t="s">
        <v>549</v>
      </c>
      <c r="B375" s="47">
        <f>((((((((((((((((B310)+(B314))+(B318))+(B322))+(B326))+(B330))+(B334))+(B338))+(B342))+(B346))+(B350))+(B354))+(B358))+(B362))+(B366))+(B370))+(B374)</f>
        <v>-381808.24000000005</v>
      </c>
    </row>
    <row r="376" spans="1:2" x14ac:dyDescent="0.2">
      <c r="A376" s="44" t="s">
        <v>550</v>
      </c>
      <c r="B376" s="45"/>
    </row>
    <row r="377" spans="1:2" x14ac:dyDescent="0.2">
      <c r="A377" s="44" t="s">
        <v>551</v>
      </c>
      <c r="B377" s="46">
        <f>74482.9</f>
        <v>74482.899999999994</v>
      </c>
    </row>
    <row r="378" spans="1:2" x14ac:dyDescent="0.2">
      <c r="A378" s="44" t="s">
        <v>552</v>
      </c>
      <c r="B378" s="46">
        <f>-388194.67</f>
        <v>-388194.67</v>
      </c>
    </row>
    <row r="379" spans="1:2" x14ac:dyDescent="0.2">
      <c r="A379" s="44" t="s">
        <v>553</v>
      </c>
      <c r="B379" s="47">
        <f>((B376)+(B377))+(B378)</f>
        <v>-313711.77</v>
      </c>
    </row>
    <row r="380" spans="1:2" x14ac:dyDescent="0.2">
      <c r="A380" s="44" t="s">
        <v>554</v>
      </c>
      <c r="B380" s="45"/>
    </row>
    <row r="381" spans="1:2" x14ac:dyDescent="0.2">
      <c r="A381" s="44" t="s">
        <v>555</v>
      </c>
      <c r="B381" s="46">
        <f>4.18</f>
        <v>4.18</v>
      </c>
    </row>
    <row r="382" spans="1:2" x14ac:dyDescent="0.2">
      <c r="A382" s="44" t="s">
        <v>556</v>
      </c>
      <c r="B382" s="47">
        <f>(B380)+(B381)</f>
        <v>4.18</v>
      </c>
    </row>
    <row r="383" spans="1:2" x14ac:dyDescent="0.2">
      <c r="A383" s="44" t="s">
        <v>557</v>
      </c>
      <c r="B383" s="45"/>
    </row>
    <row r="384" spans="1:2" x14ac:dyDescent="0.2">
      <c r="A384" s="44" t="s">
        <v>558</v>
      </c>
      <c r="B384" s="46">
        <f>1.08</f>
        <v>1.08</v>
      </c>
    </row>
    <row r="385" spans="1:2" x14ac:dyDescent="0.2">
      <c r="A385" s="44" t="s">
        <v>559</v>
      </c>
      <c r="B385" s="47">
        <f>(B383)+(B384)</f>
        <v>1.08</v>
      </c>
    </row>
    <row r="386" spans="1:2" x14ac:dyDescent="0.2">
      <c r="A386" s="44" t="s">
        <v>560</v>
      </c>
      <c r="B386" s="45"/>
    </row>
    <row r="387" spans="1:2" x14ac:dyDescent="0.2">
      <c r="A387" s="44" t="s">
        <v>561</v>
      </c>
      <c r="B387" s="46">
        <f>9569.68</f>
        <v>9569.68</v>
      </c>
    </row>
    <row r="388" spans="1:2" x14ac:dyDescent="0.2">
      <c r="A388" s="44" t="s">
        <v>562</v>
      </c>
      <c r="B388" s="46">
        <f>-53352.47</f>
        <v>-53352.47</v>
      </c>
    </row>
    <row r="389" spans="1:2" x14ac:dyDescent="0.2">
      <c r="A389" s="44" t="s">
        <v>563</v>
      </c>
      <c r="B389" s="47">
        <f>((B386)+(B387))+(B388)</f>
        <v>-43782.79</v>
      </c>
    </row>
    <row r="390" spans="1:2" x14ac:dyDescent="0.2">
      <c r="A390" s="44" t="s">
        <v>564</v>
      </c>
      <c r="B390" s="47">
        <f>(((((B309)+(B375))+(B379))+(B382))+(B385))+(B389)</f>
        <v>-620597.54</v>
      </c>
    </row>
    <row r="391" spans="1:2" x14ac:dyDescent="0.2">
      <c r="A391" s="44" t="s">
        <v>565</v>
      </c>
      <c r="B391" s="47">
        <f>(B390)-(0)</f>
        <v>-620597.54</v>
      </c>
    </row>
    <row r="392" spans="1:2" x14ac:dyDescent="0.2">
      <c r="A392" s="44" t="s">
        <v>566</v>
      </c>
      <c r="B392" s="47">
        <f>(B307)+(B391)</f>
        <v>-251783.80000000005</v>
      </c>
    </row>
    <row r="393" spans="1:2" x14ac:dyDescent="0.2">
      <c r="A393" s="44"/>
      <c r="B393" s="45"/>
    </row>
    <row r="396" spans="1:2" x14ac:dyDescent="0.2">
      <c r="A396" s="126" t="s">
        <v>567</v>
      </c>
      <c r="B396" s="124"/>
    </row>
  </sheetData>
  <mergeCells count="4">
    <mergeCell ref="A1:B1"/>
    <mergeCell ref="A2:B2"/>
    <mergeCell ref="A3:B3"/>
    <mergeCell ref="A396:B396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9982-25AC-244A-8DF0-0DE394DE4DE7}">
  <dimension ref="A2:L254"/>
  <sheetViews>
    <sheetView topLeftCell="A80" zoomScale="110" zoomScaleNormal="110" workbookViewId="0">
      <selection activeCell="F96" sqref="F96"/>
    </sheetView>
  </sheetViews>
  <sheetFormatPr baseColWidth="10" defaultRowHeight="16" x14ac:dyDescent="0.2"/>
  <cols>
    <col min="1" max="1" width="48.1640625" bestFit="1" customWidth="1"/>
    <col min="2" max="2" width="14.6640625" bestFit="1" customWidth="1"/>
    <col min="3" max="3" width="14" bestFit="1" customWidth="1"/>
    <col min="4" max="5" width="2.83203125" customWidth="1"/>
    <col min="6" max="6" width="30.5" customWidth="1"/>
    <col min="7" max="7" width="13.1640625" bestFit="1" customWidth="1"/>
    <col min="8" max="8" width="22.5" bestFit="1" customWidth="1"/>
    <col min="9" max="9" width="45.5" bestFit="1" customWidth="1"/>
  </cols>
  <sheetData>
    <row r="2" spans="1:10" x14ac:dyDescent="0.2">
      <c r="A2" s="39" t="s">
        <v>106</v>
      </c>
    </row>
    <row r="3" spans="1:10" s="39" customFormat="1" x14ac:dyDescent="0.2">
      <c r="A3" s="41" t="s">
        <v>107</v>
      </c>
      <c r="B3" s="41" t="s">
        <v>4</v>
      </c>
      <c r="C3" s="41" t="s">
        <v>118</v>
      </c>
      <c r="F3" s="39" t="s">
        <v>568</v>
      </c>
      <c r="H3" s="39" t="s">
        <v>603</v>
      </c>
    </row>
    <row r="4" spans="1:10" x14ac:dyDescent="0.2">
      <c r="A4" s="37" t="s">
        <v>108</v>
      </c>
      <c r="B4" s="40">
        <f>'Approved Budget FY22'!E4</f>
        <v>235000</v>
      </c>
      <c r="C4" s="40"/>
      <c r="D4" s="38"/>
      <c r="E4" s="3">
        <v>1</v>
      </c>
      <c r="F4" s="4" t="s">
        <v>6</v>
      </c>
      <c r="H4" s="37" t="s">
        <v>610</v>
      </c>
      <c r="I4" s="37" t="s">
        <v>634</v>
      </c>
    </row>
    <row r="5" spans="1:10" ht="97" x14ac:dyDescent="0.2">
      <c r="A5" s="73" t="s">
        <v>599</v>
      </c>
      <c r="B5" s="40"/>
      <c r="C5" s="40">
        <f>'P&amp;L FINAL FY22'!B78</f>
        <v>211980.09</v>
      </c>
      <c r="D5" s="38"/>
      <c r="E5" s="69"/>
      <c r="F5" s="35"/>
      <c r="H5" s="73" t="s">
        <v>611</v>
      </c>
      <c r="I5" s="37" t="s">
        <v>635</v>
      </c>
    </row>
    <row r="6" spans="1:10" x14ac:dyDescent="0.2">
      <c r="A6" s="101" t="s">
        <v>224</v>
      </c>
      <c r="B6" s="104"/>
      <c r="C6" s="104">
        <f>'P&amp;L FINAL FY22'!B50</f>
        <v>1575.6</v>
      </c>
      <c r="D6" s="38"/>
      <c r="E6" s="69"/>
      <c r="F6" s="35"/>
      <c r="H6" s="73" t="s">
        <v>612</v>
      </c>
      <c r="I6" s="37" t="s">
        <v>604</v>
      </c>
    </row>
    <row r="7" spans="1:10" x14ac:dyDescent="0.2">
      <c r="A7" s="37" t="s">
        <v>125</v>
      </c>
      <c r="B7" s="40">
        <f>'Approved Budget FY22'!E5</f>
        <v>48000</v>
      </c>
      <c r="C7" s="40"/>
      <c r="D7" s="38"/>
      <c r="E7" s="3">
        <v>2</v>
      </c>
      <c r="F7" s="4" t="s">
        <v>7</v>
      </c>
      <c r="H7" s="102"/>
      <c r="I7" s="102" t="s">
        <v>626</v>
      </c>
    </row>
    <row r="8" spans="1:10" x14ac:dyDescent="0.2">
      <c r="A8" s="73" t="s">
        <v>189</v>
      </c>
      <c r="B8" s="40"/>
      <c r="C8" s="40">
        <f>'P&amp;L FINAL FY22'!B15</f>
        <v>13130</v>
      </c>
      <c r="D8" s="38"/>
      <c r="E8" s="69"/>
      <c r="F8" s="35"/>
      <c r="H8" s="98"/>
      <c r="I8" s="98" t="s">
        <v>632</v>
      </c>
    </row>
    <row r="9" spans="1:10" x14ac:dyDescent="0.2">
      <c r="A9" s="37" t="s">
        <v>109</v>
      </c>
      <c r="B9" s="40"/>
      <c r="C9" s="40"/>
      <c r="D9" s="38"/>
      <c r="G9" s="106"/>
      <c r="H9" s="97"/>
      <c r="I9" s="107"/>
      <c r="J9" s="106"/>
    </row>
    <row r="10" spans="1:10" x14ac:dyDescent="0.2">
      <c r="A10" s="37" t="s">
        <v>120</v>
      </c>
      <c r="B10" s="40">
        <f>'Approved Budget FY22'!E23</f>
        <v>205000</v>
      </c>
      <c r="C10" s="40"/>
      <c r="D10" s="38"/>
      <c r="E10" s="15">
        <v>13</v>
      </c>
      <c r="F10" s="16" t="s">
        <v>25</v>
      </c>
      <c r="H10" s="106"/>
      <c r="I10" s="106"/>
    </row>
    <row r="11" spans="1:10" x14ac:dyDescent="0.2">
      <c r="A11" s="73" t="s">
        <v>266</v>
      </c>
      <c r="B11" s="40"/>
      <c r="C11" s="40">
        <f>'P&amp;L FINAL FY22'!B92</f>
        <v>209794.83</v>
      </c>
      <c r="D11" s="38"/>
      <c r="E11" s="70"/>
      <c r="F11" s="71"/>
    </row>
    <row r="12" spans="1:10" x14ac:dyDescent="0.2">
      <c r="A12" s="37" t="s">
        <v>121</v>
      </c>
      <c r="B12" s="40">
        <f>'Approved Budget FY22'!E30</f>
        <v>55000</v>
      </c>
      <c r="C12" s="40"/>
      <c r="D12" s="38"/>
      <c r="E12" s="15">
        <v>17</v>
      </c>
      <c r="F12" s="16" t="s">
        <v>32</v>
      </c>
    </row>
    <row r="13" spans="1:10" x14ac:dyDescent="0.2">
      <c r="A13" s="73" t="s">
        <v>182</v>
      </c>
      <c r="B13" s="40"/>
      <c r="C13" s="40">
        <f>'P&amp;L FINAL FY22'!B8</f>
        <v>60000</v>
      </c>
      <c r="D13" s="38"/>
      <c r="E13" s="70"/>
      <c r="F13" s="71"/>
    </row>
    <row r="14" spans="1:10" x14ac:dyDescent="0.2">
      <c r="A14" s="37" t="s">
        <v>110</v>
      </c>
      <c r="B14" s="40"/>
      <c r="C14" s="40"/>
      <c r="D14" s="38"/>
    </row>
    <row r="15" spans="1:10" x14ac:dyDescent="0.2">
      <c r="A15" s="37" t="s">
        <v>122</v>
      </c>
      <c r="B15" s="40">
        <f>'Approved Budget FY22'!E22</f>
        <v>115000</v>
      </c>
      <c r="C15" s="40"/>
      <c r="D15" s="38"/>
      <c r="E15" s="15">
        <v>12</v>
      </c>
      <c r="F15" s="16" t="s">
        <v>24</v>
      </c>
    </row>
    <row r="16" spans="1:10" x14ac:dyDescent="0.2">
      <c r="A16" s="73" t="s">
        <v>267</v>
      </c>
      <c r="B16" s="40"/>
      <c r="C16" s="40">
        <f>'P&amp;L FINAL FY22'!B93</f>
        <v>120000</v>
      </c>
      <c r="D16" s="38"/>
      <c r="E16" s="70"/>
      <c r="F16" s="71"/>
    </row>
    <row r="17" spans="1:6" x14ac:dyDescent="0.2">
      <c r="A17" s="73" t="s">
        <v>272</v>
      </c>
      <c r="B17" s="40"/>
      <c r="C17" s="40">
        <f>'P&amp;L FINAL FY22'!B98</f>
        <v>552</v>
      </c>
      <c r="D17" s="38"/>
      <c r="E17" s="70"/>
      <c r="F17" s="71"/>
    </row>
    <row r="18" spans="1:6" x14ac:dyDescent="0.2">
      <c r="A18" s="37" t="s">
        <v>123</v>
      </c>
      <c r="B18" s="40">
        <f>'Approved Budget FY22'!E26</f>
        <v>12000</v>
      </c>
      <c r="C18" s="40"/>
      <c r="D18" s="38"/>
      <c r="E18" s="15">
        <v>15</v>
      </c>
      <c r="F18" s="16" t="s">
        <v>28</v>
      </c>
    </row>
    <row r="19" spans="1:6" x14ac:dyDescent="0.2">
      <c r="A19" s="73" t="s">
        <v>227</v>
      </c>
      <c r="B19" s="40"/>
      <c r="C19" s="40">
        <f>'P&amp;L FINAL FY22'!B53</f>
        <v>8000</v>
      </c>
      <c r="D19" s="38"/>
      <c r="E19" s="70"/>
      <c r="F19" s="71"/>
    </row>
    <row r="20" spans="1:6" x14ac:dyDescent="0.2">
      <c r="A20" s="73" t="s">
        <v>271</v>
      </c>
      <c r="B20" s="40"/>
      <c r="C20" s="40">
        <f>'P&amp;L FINAL FY22'!B97</f>
        <v>20720.939999999999</v>
      </c>
      <c r="D20" s="38"/>
      <c r="E20" s="70"/>
      <c r="F20" s="71"/>
    </row>
    <row r="21" spans="1:6" x14ac:dyDescent="0.2">
      <c r="A21" s="37" t="s">
        <v>124</v>
      </c>
      <c r="B21" s="40">
        <f>'Approved Budget FY22'!E24</f>
        <v>34000</v>
      </c>
      <c r="C21" s="40"/>
      <c r="D21" s="38"/>
      <c r="E21" s="15">
        <v>14</v>
      </c>
      <c r="F21" s="16" t="s">
        <v>26</v>
      </c>
    </row>
    <row r="22" spans="1:6" x14ac:dyDescent="0.2">
      <c r="A22" s="73" t="s">
        <v>269</v>
      </c>
      <c r="B22" s="40"/>
      <c r="C22" s="40">
        <f>'P&amp;L FINAL FY22'!B96</f>
        <v>500</v>
      </c>
      <c r="D22" s="38"/>
      <c r="E22" s="70"/>
      <c r="F22" s="71"/>
    </row>
    <row r="23" spans="1:6" x14ac:dyDescent="0.2">
      <c r="A23" s="73" t="s">
        <v>275</v>
      </c>
      <c r="B23" s="40"/>
      <c r="C23" s="40">
        <f>'P&amp;L FINAL FY22'!B101</f>
        <v>33747.379999999997</v>
      </c>
      <c r="D23" s="38"/>
      <c r="E23" s="70"/>
      <c r="F23" s="71"/>
    </row>
    <row r="24" spans="1:6" x14ac:dyDescent="0.2">
      <c r="A24" s="37" t="s">
        <v>111</v>
      </c>
      <c r="B24" s="40"/>
      <c r="C24" s="40"/>
      <c r="D24" s="38"/>
    </row>
    <row r="25" spans="1:6" x14ac:dyDescent="0.2">
      <c r="A25" s="37" t="s">
        <v>126</v>
      </c>
      <c r="B25" s="40">
        <f>'Approved Budget FY22'!E29</f>
        <v>125000</v>
      </c>
      <c r="C25" s="40"/>
      <c r="D25" s="38"/>
      <c r="E25" s="15">
        <v>16</v>
      </c>
      <c r="F25" s="16" t="s">
        <v>31</v>
      </c>
    </row>
    <row r="26" spans="1:6" ht="49" x14ac:dyDescent="0.2">
      <c r="A26" s="72" t="s">
        <v>598</v>
      </c>
      <c r="B26" s="40"/>
      <c r="C26" s="40">
        <f>'P&amp;L FINAL FY22'!B48</f>
        <v>141893.4</v>
      </c>
      <c r="D26" s="38"/>
      <c r="E26" s="70"/>
      <c r="F26" s="71"/>
    </row>
    <row r="27" spans="1:6" x14ac:dyDescent="0.2">
      <c r="A27" s="37" t="s">
        <v>127</v>
      </c>
      <c r="B27" s="40">
        <f>'Approved Budget FY22'!E35</f>
        <v>150000</v>
      </c>
      <c r="C27" s="40"/>
      <c r="D27" s="38"/>
      <c r="E27" s="7">
        <v>21</v>
      </c>
      <c r="F27" s="8" t="s">
        <v>37</v>
      </c>
    </row>
    <row r="28" spans="1:6" x14ac:dyDescent="0.2">
      <c r="A28" s="101" t="s">
        <v>225</v>
      </c>
      <c r="B28" s="104"/>
      <c r="C28" s="104">
        <f>'P&amp;L FINAL FY22'!B51</f>
        <v>130400</v>
      </c>
      <c r="D28" s="38"/>
      <c r="E28" s="70"/>
      <c r="F28" s="71"/>
    </row>
    <row r="29" spans="1:6" x14ac:dyDescent="0.2">
      <c r="A29" s="37" t="s">
        <v>128</v>
      </c>
      <c r="B29" s="40">
        <f>'Approved Budget FY22'!E36</f>
        <v>50000</v>
      </c>
      <c r="C29" s="40"/>
      <c r="D29" s="38"/>
      <c r="E29" s="17">
        <v>22</v>
      </c>
      <c r="F29" s="8" t="s">
        <v>38</v>
      </c>
    </row>
    <row r="30" spans="1:6" x14ac:dyDescent="0.2">
      <c r="A30" s="101" t="s">
        <v>187</v>
      </c>
      <c r="B30" s="104"/>
      <c r="C30" s="104">
        <f>'P&amp;L FINAL FY22'!B13</f>
        <v>1872</v>
      </c>
      <c r="D30" s="38"/>
      <c r="E30" s="70"/>
      <c r="F30" s="71"/>
    </row>
    <row r="31" spans="1:6" x14ac:dyDescent="0.2">
      <c r="A31" s="101" t="s">
        <v>233</v>
      </c>
      <c r="B31" s="104"/>
      <c r="C31" s="104">
        <f>'P&amp;L FINAL FY22'!B59</f>
        <v>18200</v>
      </c>
      <c r="D31" s="38"/>
      <c r="E31" s="70"/>
      <c r="F31" s="71"/>
    </row>
    <row r="32" spans="1:6" x14ac:dyDescent="0.2">
      <c r="A32" s="101" t="s">
        <v>287</v>
      </c>
      <c r="B32" s="104"/>
      <c r="C32" s="104">
        <f>'P&amp;L FINAL FY22'!B113</f>
        <v>0</v>
      </c>
      <c r="D32" s="38"/>
      <c r="E32" s="70"/>
      <c r="F32" s="71"/>
    </row>
    <row r="33" spans="1:8" x14ac:dyDescent="0.2">
      <c r="A33" s="101" t="s">
        <v>288</v>
      </c>
      <c r="B33" s="104"/>
      <c r="C33" s="104">
        <f>'P&amp;L FINAL FY22'!B114</f>
        <v>0</v>
      </c>
      <c r="D33" s="38"/>
      <c r="E33" s="70"/>
      <c r="F33" s="71"/>
    </row>
    <row r="34" spans="1:8" x14ac:dyDescent="0.2">
      <c r="A34" s="101" t="s">
        <v>342</v>
      </c>
      <c r="B34" s="104"/>
      <c r="C34" s="104">
        <f>'P&amp;L FINAL FY22'!B168</f>
        <v>0</v>
      </c>
      <c r="D34" s="38"/>
      <c r="E34" s="70"/>
      <c r="F34" s="71"/>
    </row>
    <row r="35" spans="1:8" x14ac:dyDescent="0.2">
      <c r="A35" s="101" t="s">
        <v>343</v>
      </c>
      <c r="B35" s="104"/>
      <c r="C35" s="104">
        <f>'P&amp;L FINAL FY22'!B169</f>
        <v>0</v>
      </c>
      <c r="D35" s="38"/>
      <c r="E35" s="70"/>
      <c r="F35" s="71"/>
    </row>
    <row r="36" spans="1:8" x14ac:dyDescent="0.2">
      <c r="A36" s="37" t="s">
        <v>129</v>
      </c>
      <c r="B36" s="40">
        <f>'Approved Budget FY22'!E38</f>
        <v>5000</v>
      </c>
      <c r="C36" s="40"/>
      <c r="D36" s="38"/>
      <c r="E36" s="15">
        <v>24</v>
      </c>
      <c r="F36" s="16" t="s">
        <v>40</v>
      </c>
    </row>
    <row r="37" spans="1:8" x14ac:dyDescent="0.2">
      <c r="A37" s="73" t="s">
        <v>183</v>
      </c>
      <c r="B37" s="40"/>
      <c r="C37" s="40">
        <f>'P&amp;L FINAL FY22'!B9</f>
        <v>457.83</v>
      </c>
      <c r="D37" s="38"/>
      <c r="E37" s="70"/>
      <c r="F37" s="71"/>
    </row>
    <row r="38" spans="1:8" x14ac:dyDescent="0.2">
      <c r="A38" s="73" t="s">
        <v>601</v>
      </c>
      <c r="B38" s="40"/>
      <c r="C38" s="40">
        <v>0</v>
      </c>
      <c r="D38" s="38"/>
      <c r="E38" s="70"/>
      <c r="F38" s="71"/>
    </row>
    <row r="39" spans="1:8" ht="48" x14ac:dyDescent="0.2">
      <c r="A39" s="37" t="s">
        <v>130</v>
      </c>
      <c r="B39" s="40">
        <f>'Approved Budget FY22'!E8+'Approved Budget FY22'!E10+'Approved Budget FY22'!E12+'Approved Budget FY22'!E34</f>
        <v>113500</v>
      </c>
      <c r="C39" s="40"/>
      <c r="D39" s="38"/>
      <c r="E39" s="56" t="s">
        <v>569</v>
      </c>
      <c r="F39" s="57" t="s">
        <v>570</v>
      </c>
    </row>
    <row r="40" spans="1:8" ht="73" x14ac:dyDescent="0.2">
      <c r="A40" s="103" t="s">
        <v>594</v>
      </c>
      <c r="B40" s="104"/>
      <c r="C40" s="104">
        <f>'P&amp;L FINAL FY22'!B29</f>
        <v>202720.28</v>
      </c>
      <c r="D40" s="38"/>
      <c r="E40" s="74"/>
      <c r="F40" s="75"/>
    </row>
    <row r="41" spans="1:8" ht="37" x14ac:dyDescent="0.2">
      <c r="A41" s="103" t="s">
        <v>595</v>
      </c>
      <c r="B41" s="104"/>
      <c r="C41" s="104">
        <f>'P&amp;L FINAL FY22'!B33</f>
        <v>213785</v>
      </c>
      <c r="D41" s="38"/>
      <c r="E41" s="74"/>
      <c r="F41" s="75"/>
    </row>
    <row r="42" spans="1:8" ht="25" x14ac:dyDescent="0.2">
      <c r="A42" s="103" t="s">
        <v>597</v>
      </c>
      <c r="B42" s="104"/>
      <c r="C42" s="104">
        <f>'P&amp;L FINAL FY22'!B40</f>
        <v>1525</v>
      </c>
      <c r="D42" s="38"/>
      <c r="E42" s="74"/>
      <c r="F42" s="75"/>
    </row>
    <row r="43" spans="1:8" x14ac:dyDescent="0.2">
      <c r="A43" s="101" t="s">
        <v>217</v>
      </c>
      <c r="B43" s="104"/>
      <c r="C43" s="104">
        <f>'P&amp;L FINAL FY22'!B43</f>
        <v>1000</v>
      </c>
      <c r="D43" s="38"/>
      <c r="E43" s="74"/>
      <c r="F43" s="75"/>
    </row>
    <row r="44" spans="1:8" s="93" customFormat="1" x14ac:dyDescent="0.2">
      <c r="A44" s="37" t="s">
        <v>628</v>
      </c>
      <c r="B44" s="89">
        <f>'Approved Budget FY22'!E37</f>
        <v>35000</v>
      </c>
      <c r="C44" s="89"/>
      <c r="D44" s="90"/>
      <c r="E44" s="91"/>
      <c r="F44" s="92"/>
    </row>
    <row r="45" spans="1:8" x14ac:dyDescent="0.2">
      <c r="A45" s="73" t="s">
        <v>226</v>
      </c>
      <c r="B45" s="40"/>
      <c r="C45" s="40">
        <f>'P&amp;L FINAL FY22'!B52</f>
        <v>310</v>
      </c>
      <c r="D45" s="38"/>
      <c r="E45" s="74"/>
      <c r="F45" s="75"/>
      <c r="H45" s="93"/>
    </row>
    <row r="46" spans="1:8" x14ac:dyDescent="0.2">
      <c r="A46" s="101" t="s">
        <v>228</v>
      </c>
      <c r="B46" s="104"/>
      <c r="C46" s="104">
        <f>'P&amp;L FINAL FY22'!B54</f>
        <v>1855</v>
      </c>
      <c r="D46" s="38"/>
      <c r="E46" s="74"/>
      <c r="F46" s="75"/>
      <c r="H46" s="93"/>
    </row>
    <row r="47" spans="1:8" x14ac:dyDescent="0.2">
      <c r="A47" s="101" t="s">
        <v>229</v>
      </c>
      <c r="B47" s="104"/>
      <c r="C47" s="104">
        <f>'P&amp;L FINAL FY22'!B55</f>
        <v>4846.91</v>
      </c>
      <c r="D47" s="38"/>
      <c r="E47" s="74"/>
      <c r="F47" s="75"/>
      <c r="H47" s="93"/>
    </row>
    <row r="48" spans="1:8" x14ac:dyDescent="0.2">
      <c r="A48" s="101" t="s">
        <v>230</v>
      </c>
      <c r="B48" s="104"/>
      <c r="C48" s="104">
        <f>'P&amp;L FINAL FY22'!B56</f>
        <v>10670</v>
      </c>
      <c r="D48" s="38"/>
      <c r="E48" s="74"/>
      <c r="F48" s="75"/>
      <c r="H48" s="93"/>
    </row>
    <row r="49" spans="1:8" x14ac:dyDescent="0.2">
      <c r="A49" s="88" t="s">
        <v>231</v>
      </c>
      <c r="B49" s="40"/>
      <c r="C49" s="40">
        <f>'P&amp;L FINAL FY22'!B57</f>
        <v>844.11</v>
      </c>
      <c r="D49" s="38"/>
      <c r="E49" s="74"/>
      <c r="F49" s="75"/>
      <c r="H49" s="93"/>
    </row>
    <row r="50" spans="1:8" x14ac:dyDescent="0.2">
      <c r="A50" s="88" t="s">
        <v>232</v>
      </c>
      <c r="B50" s="40"/>
      <c r="C50" s="40">
        <f>'P&amp;L FINAL FY22'!B58</f>
        <v>30676.16</v>
      </c>
      <c r="D50" s="38"/>
      <c r="E50" s="74"/>
      <c r="F50" s="75"/>
      <c r="H50" s="93"/>
    </row>
    <row r="51" spans="1:8" x14ac:dyDescent="0.2">
      <c r="A51" s="88" t="s">
        <v>234</v>
      </c>
      <c r="B51" s="40"/>
      <c r="C51" s="40">
        <f>'P&amp;L FINAL FY22'!B60</f>
        <v>10000</v>
      </c>
      <c r="D51" s="38"/>
      <c r="E51" s="74"/>
      <c r="F51" s="75"/>
      <c r="H51" s="93"/>
    </row>
    <row r="52" spans="1:8" x14ac:dyDescent="0.2">
      <c r="A52" s="37" t="s">
        <v>131</v>
      </c>
      <c r="B52" s="40">
        <f>'Approved Budget FY22'!E19</f>
        <v>5000</v>
      </c>
      <c r="C52" s="40"/>
      <c r="D52" s="38"/>
      <c r="E52" s="11">
        <v>11</v>
      </c>
      <c r="F52" s="12" t="s">
        <v>21</v>
      </c>
    </row>
    <row r="53" spans="1:8" ht="25" x14ac:dyDescent="0.2">
      <c r="A53" s="101" t="s">
        <v>622</v>
      </c>
      <c r="B53" s="104"/>
      <c r="C53" s="104">
        <f>'P&amp;L FINAL FY22'!B64</f>
        <v>5190</v>
      </c>
      <c r="D53" s="38"/>
      <c r="E53" s="70"/>
      <c r="F53" s="71"/>
    </row>
    <row r="54" spans="1:8" ht="24" x14ac:dyDescent="0.2">
      <c r="A54" s="37" t="s">
        <v>132</v>
      </c>
      <c r="B54" s="40">
        <f>'Approved Budget FY22'!E17+'Approved Budget FY22'!E18</f>
        <v>110000</v>
      </c>
      <c r="C54" s="40"/>
      <c r="D54" s="38"/>
      <c r="E54" s="54" t="s">
        <v>574</v>
      </c>
      <c r="F54" s="55" t="s">
        <v>573</v>
      </c>
    </row>
    <row r="55" spans="1:8" x14ac:dyDescent="0.2">
      <c r="A55" s="101" t="s">
        <v>239</v>
      </c>
      <c r="B55" s="104"/>
      <c r="C55" s="104">
        <f>'P&amp;L FINAL FY22'!B65</f>
        <v>5335</v>
      </c>
      <c r="D55" s="38"/>
      <c r="E55" s="74"/>
      <c r="F55" s="75"/>
    </row>
    <row r="56" spans="1:8" ht="97" x14ac:dyDescent="0.2">
      <c r="A56" s="88" t="s">
        <v>600</v>
      </c>
      <c r="B56" s="40"/>
      <c r="C56" s="40">
        <f>'P&amp;L FINAL FY22'!B87</f>
        <v>359138.99</v>
      </c>
      <c r="D56" s="38"/>
      <c r="E56" s="74"/>
      <c r="F56" s="75"/>
    </row>
    <row r="57" spans="1:8" x14ac:dyDescent="0.2">
      <c r="A57" s="88" t="s">
        <v>433</v>
      </c>
      <c r="B57" s="89"/>
      <c r="C57" s="89">
        <f>'P&amp;L FINAL FY22'!B259</f>
        <v>34611.22</v>
      </c>
      <c r="D57" s="38"/>
      <c r="E57" s="74"/>
      <c r="F57" s="75"/>
    </row>
    <row r="58" spans="1:8" x14ac:dyDescent="0.2">
      <c r="A58" s="88" t="s">
        <v>445</v>
      </c>
      <c r="B58" s="89"/>
      <c r="C58" s="89">
        <f>'P&amp;L FINAL FY22'!B271</f>
        <v>-34611.22</v>
      </c>
      <c r="D58" s="38"/>
      <c r="E58" s="74"/>
      <c r="F58" s="75"/>
    </row>
    <row r="59" spans="1:8" ht="24" x14ac:dyDescent="0.2">
      <c r="A59" s="37" t="s">
        <v>629</v>
      </c>
      <c r="B59" s="40">
        <f>'Approved Budget FY22'!E13</f>
        <v>22500</v>
      </c>
      <c r="C59" s="40"/>
      <c r="D59" s="38"/>
      <c r="E59" s="56" t="s">
        <v>571</v>
      </c>
      <c r="F59" s="57" t="s">
        <v>572</v>
      </c>
    </row>
    <row r="60" spans="1:8" x14ac:dyDescent="0.2">
      <c r="A60" s="101" t="s">
        <v>264</v>
      </c>
      <c r="B60" s="104"/>
      <c r="C60" s="104">
        <f>'P&amp;L FINAL FY22'!B90</f>
        <v>24303.7</v>
      </c>
      <c r="D60" s="38"/>
      <c r="E60" s="74"/>
      <c r="F60" s="75"/>
      <c r="H60" s="93"/>
    </row>
    <row r="61" spans="1:8" x14ac:dyDescent="0.2">
      <c r="A61" s="37" t="s">
        <v>112</v>
      </c>
      <c r="B61" s="40">
        <f>'Approved Budget FY22'!E32</f>
        <v>15000</v>
      </c>
      <c r="C61" s="40"/>
      <c r="D61" s="38"/>
      <c r="E61" s="15">
        <v>19</v>
      </c>
      <c r="F61" s="16" t="s">
        <v>34</v>
      </c>
    </row>
    <row r="62" spans="1:8" x14ac:dyDescent="0.2">
      <c r="A62" s="73" t="s">
        <v>184</v>
      </c>
      <c r="B62" s="40"/>
      <c r="C62" s="40">
        <f>'P&amp;L FINAL FY22'!B11</f>
        <v>310.60000000000002</v>
      </c>
      <c r="D62" s="38"/>
      <c r="E62" s="70"/>
      <c r="F62" s="71"/>
    </row>
    <row r="63" spans="1:8" x14ac:dyDescent="0.2">
      <c r="A63" s="73" t="s">
        <v>243</v>
      </c>
      <c r="B63" s="40"/>
      <c r="C63" s="40">
        <f>'P&amp;L FINAL FY22'!B69</f>
        <v>60</v>
      </c>
      <c r="D63" s="38"/>
      <c r="E63" s="70"/>
      <c r="F63" s="71"/>
    </row>
    <row r="64" spans="1:8" x14ac:dyDescent="0.2">
      <c r="A64" s="73" t="s">
        <v>274</v>
      </c>
      <c r="B64" s="40"/>
      <c r="C64" s="40">
        <f>'P&amp;L FINAL FY22'!B100</f>
        <v>1039.2</v>
      </c>
      <c r="D64" s="38"/>
      <c r="E64" s="70"/>
      <c r="F64" s="71"/>
    </row>
    <row r="65" spans="1:8" x14ac:dyDescent="0.2">
      <c r="A65" s="94" t="s">
        <v>522</v>
      </c>
      <c r="B65" s="95"/>
      <c r="C65" s="95">
        <f>'P&amp;L FINAL FY22'!B348</f>
        <v>158.21</v>
      </c>
      <c r="D65" s="38"/>
      <c r="E65" s="70"/>
      <c r="F65" s="71"/>
    </row>
    <row r="66" spans="1:8" x14ac:dyDescent="0.2">
      <c r="A66" s="99" t="s">
        <v>605</v>
      </c>
      <c r="B66" s="89"/>
      <c r="C66" s="89">
        <v>20772</v>
      </c>
      <c r="D66" s="38"/>
      <c r="E66" s="70"/>
      <c r="F66" s="71"/>
    </row>
    <row r="67" spans="1:8" x14ac:dyDescent="0.2">
      <c r="A67" s="37" t="s">
        <v>113</v>
      </c>
      <c r="B67" s="40">
        <f>'Approved Budget FY22'!E40</f>
        <v>15000</v>
      </c>
      <c r="C67" s="40"/>
      <c r="D67" s="38"/>
      <c r="E67" s="15">
        <v>26</v>
      </c>
      <c r="F67" s="16" t="s">
        <v>42</v>
      </c>
    </row>
    <row r="68" spans="1:8" x14ac:dyDescent="0.2">
      <c r="A68" s="73" t="s">
        <v>185</v>
      </c>
      <c r="B68" s="40"/>
      <c r="C68" s="40">
        <f>'P&amp;L FINAL FY22'!B11</f>
        <v>310.60000000000002</v>
      </c>
      <c r="D68" s="38"/>
      <c r="E68" s="70"/>
      <c r="F68" s="71"/>
    </row>
    <row r="69" spans="1:8" x14ac:dyDescent="0.2">
      <c r="A69" s="73" t="s">
        <v>186</v>
      </c>
      <c r="B69" s="40"/>
      <c r="C69" s="40">
        <f>'P&amp;L FINAL FY22'!B12</f>
        <v>10894.03</v>
      </c>
      <c r="D69" s="38"/>
      <c r="E69" s="70"/>
      <c r="F69" s="71"/>
    </row>
    <row r="70" spans="1:8" ht="24" x14ac:dyDescent="0.2">
      <c r="A70" s="37" t="s">
        <v>119</v>
      </c>
      <c r="B70" s="40">
        <f>'Approved Budget FY22'!E42+'Approved Budget FY22'!E43</f>
        <v>36000</v>
      </c>
      <c r="C70" s="40"/>
      <c r="D70" s="38"/>
      <c r="E70" s="56" t="s">
        <v>576</v>
      </c>
      <c r="F70" s="57" t="s">
        <v>575</v>
      </c>
    </row>
    <row r="71" spans="1:8" x14ac:dyDescent="0.2">
      <c r="A71" s="101" t="s">
        <v>240</v>
      </c>
      <c r="B71" s="104"/>
      <c r="C71" s="104">
        <f>'P&amp;L FINAL FY22'!B66</f>
        <v>42465</v>
      </c>
      <c r="D71" s="38"/>
      <c r="E71" s="74"/>
      <c r="F71" s="75"/>
    </row>
    <row r="72" spans="1:8" x14ac:dyDescent="0.2">
      <c r="A72" s="37" t="s">
        <v>114</v>
      </c>
      <c r="B72" s="40"/>
      <c r="C72" s="40"/>
      <c r="D72" s="38"/>
    </row>
    <row r="73" spans="1:8" x14ac:dyDescent="0.2">
      <c r="A73" s="37" t="s">
        <v>133</v>
      </c>
      <c r="B73" s="40">
        <f>'Approved Budget FY22'!E31+'Approved Budget FY22'!E39</f>
        <v>115000</v>
      </c>
      <c r="C73" s="37"/>
      <c r="D73" s="38"/>
      <c r="E73" s="59">
        <v>18</v>
      </c>
      <c r="F73" s="58" t="s">
        <v>33</v>
      </c>
    </row>
    <row r="74" spans="1:8" x14ac:dyDescent="0.2">
      <c r="A74" s="100" t="s">
        <v>606</v>
      </c>
      <c r="B74" s="95"/>
      <c r="C74" s="95">
        <f>12682.74+13511.97+14480.29+15243.96</f>
        <v>55918.96</v>
      </c>
      <c r="D74" s="38"/>
      <c r="E74" s="74"/>
      <c r="F74" s="75"/>
    </row>
    <row r="75" spans="1:8" ht="36" x14ac:dyDescent="0.2">
      <c r="A75" s="37" t="s">
        <v>134</v>
      </c>
      <c r="B75" s="40">
        <f>'Approved Budget FY22'!E7+'Approved Budget FY22'!E9+'Approved Budget FY22'!E11</f>
        <v>101000</v>
      </c>
      <c r="C75" s="40"/>
      <c r="D75" s="38"/>
      <c r="E75" s="56" t="s">
        <v>578</v>
      </c>
      <c r="F75" s="57" t="s">
        <v>577</v>
      </c>
    </row>
    <row r="76" spans="1:8" ht="49" x14ac:dyDescent="0.2">
      <c r="A76" s="101" t="s">
        <v>593</v>
      </c>
      <c r="B76" s="104"/>
      <c r="C76" s="104">
        <f>'P&amp;L FINAL FY22'!B22</f>
        <v>9510</v>
      </c>
      <c r="D76" s="38"/>
      <c r="E76" s="74"/>
      <c r="F76" s="75"/>
    </row>
    <row r="77" spans="1:8" ht="37" x14ac:dyDescent="0.2">
      <c r="A77" s="101" t="s">
        <v>596</v>
      </c>
      <c r="B77" s="104"/>
      <c r="C77" s="104">
        <f>'P&amp;L FINAL FY22'!B37</f>
        <v>11000</v>
      </c>
      <c r="D77" s="38"/>
      <c r="E77" s="74"/>
      <c r="F77" s="75"/>
    </row>
    <row r="78" spans="1:8" x14ac:dyDescent="0.2">
      <c r="A78" s="73" t="s">
        <v>215</v>
      </c>
      <c r="B78" s="40"/>
      <c r="C78" s="40">
        <f>'P&amp;L FINAL FY22'!B41</f>
        <v>15000</v>
      </c>
      <c r="D78" s="38"/>
      <c r="E78" s="74"/>
      <c r="F78" s="75"/>
      <c r="H78" s="93"/>
    </row>
    <row r="79" spans="1:8" ht="193" x14ac:dyDescent="0.2">
      <c r="A79" s="101" t="s">
        <v>623</v>
      </c>
      <c r="B79" s="104"/>
      <c r="C79" s="104">
        <f>'P&amp;L FINAL FY22'!B145</f>
        <v>116657</v>
      </c>
      <c r="D79" s="38"/>
      <c r="E79" s="74"/>
      <c r="F79" s="75"/>
    </row>
    <row r="80" spans="1:8" x14ac:dyDescent="0.2">
      <c r="A80" s="101" t="s">
        <v>300</v>
      </c>
      <c r="B80" s="104"/>
      <c r="C80" s="104">
        <f>'P&amp;L FINAL FY22'!B126</f>
        <v>10017</v>
      </c>
      <c r="D80" s="38"/>
      <c r="E80" s="74"/>
      <c r="F80" s="75"/>
    </row>
    <row r="81" spans="1:8" x14ac:dyDescent="0.2">
      <c r="A81" s="101" t="s">
        <v>297</v>
      </c>
      <c r="B81" s="104"/>
      <c r="C81" s="104">
        <f>'P&amp;L FINAL FY22'!B123</f>
        <v>5002</v>
      </c>
      <c r="D81" s="38"/>
      <c r="E81" s="74"/>
      <c r="F81" s="75"/>
    </row>
    <row r="82" spans="1:8" x14ac:dyDescent="0.2">
      <c r="A82" s="101" t="s">
        <v>299</v>
      </c>
      <c r="B82" s="104"/>
      <c r="C82" s="104">
        <f>'P&amp;L FINAL FY22'!B125</f>
        <v>14640</v>
      </c>
      <c r="D82" s="38"/>
      <c r="E82" s="74"/>
      <c r="F82" s="75"/>
    </row>
    <row r="83" spans="1:8" ht="48" x14ac:dyDescent="0.2">
      <c r="A83" s="37" t="s">
        <v>135</v>
      </c>
      <c r="B83" s="40">
        <f>'Approved Budget FY22'!E25+'Approved Budget FY22'!E20+'Approved Budget FY22'!E14+'Approved Budget FY22'!E15</f>
        <v>37500</v>
      </c>
      <c r="C83" s="40"/>
      <c r="D83" s="38"/>
      <c r="E83" s="59" t="s">
        <v>580</v>
      </c>
      <c r="F83" s="58" t="s">
        <v>579</v>
      </c>
    </row>
    <row r="84" spans="1:8" x14ac:dyDescent="0.2">
      <c r="A84" s="101" t="s">
        <v>290</v>
      </c>
      <c r="B84" s="104"/>
      <c r="C84" s="104">
        <f>'P&amp;L FINAL FY22'!B116</f>
        <v>0</v>
      </c>
      <c r="D84" s="38"/>
      <c r="E84" s="74"/>
      <c r="F84" s="75"/>
    </row>
    <row r="85" spans="1:8" x14ac:dyDescent="0.2">
      <c r="A85" s="101" t="s">
        <v>345</v>
      </c>
      <c r="B85" s="104"/>
      <c r="C85" s="104">
        <f>'P&amp;L FINAL FY22'!B171</f>
        <v>0</v>
      </c>
      <c r="D85" s="38"/>
      <c r="E85" s="74"/>
      <c r="F85" s="75"/>
    </row>
    <row r="86" spans="1:8" x14ac:dyDescent="0.2">
      <c r="A86" s="101" t="s">
        <v>413</v>
      </c>
      <c r="B86" s="104"/>
      <c r="C86" s="104">
        <f>'P&amp;L FINAL FY22'!B239</f>
        <v>18976.95</v>
      </c>
      <c r="D86" s="38"/>
      <c r="E86" s="74"/>
      <c r="F86" s="75"/>
    </row>
    <row r="87" spans="1:8" ht="121" x14ac:dyDescent="0.2">
      <c r="A87" s="101" t="s">
        <v>607</v>
      </c>
      <c r="B87" s="104"/>
      <c r="C87" s="104">
        <f>'P&amp;L FINAL FY22'!B270</f>
        <v>11394.439999999999</v>
      </c>
      <c r="D87" s="38"/>
      <c r="E87" s="74"/>
      <c r="F87" s="75"/>
    </row>
    <row r="88" spans="1:8" x14ac:dyDescent="0.2">
      <c r="A88" s="94" t="s">
        <v>608</v>
      </c>
      <c r="B88" s="104"/>
      <c r="C88" s="104">
        <v>7500</v>
      </c>
      <c r="D88" s="38"/>
      <c r="E88" s="74"/>
      <c r="F88" s="75"/>
      <c r="H88" s="93"/>
    </row>
    <row r="89" spans="1:8" x14ac:dyDescent="0.2">
      <c r="A89" s="94" t="s">
        <v>609</v>
      </c>
      <c r="B89" s="95"/>
      <c r="C89" s="95">
        <v>19776.95</v>
      </c>
      <c r="D89" s="38"/>
      <c r="E89" s="74"/>
      <c r="F89" s="75"/>
      <c r="H89" s="93"/>
    </row>
    <row r="90" spans="1:8" x14ac:dyDescent="0.2">
      <c r="A90" s="94" t="s">
        <v>602</v>
      </c>
      <c r="B90" s="95"/>
      <c r="C90" s="95">
        <v>9967.73</v>
      </c>
      <c r="D90" s="38"/>
      <c r="E90" s="74"/>
      <c r="F90" s="75"/>
      <c r="H90" s="93"/>
    </row>
    <row r="91" spans="1:8" s="93" customFormat="1" x14ac:dyDescent="0.2">
      <c r="A91" s="37" t="s">
        <v>627</v>
      </c>
      <c r="B91" s="89">
        <v>118700</v>
      </c>
      <c r="C91" s="89"/>
      <c r="D91" s="90"/>
      <c r="E91" s="91"/>
      <c r="F91" s="92"/>
    </row>
    <row r="92" spans="1:8" s="93" customFormat="1" x14ac:dyDescent="0.2">
      <c r="A92" s="96" t="s">
        <v>483</v>
      </c>
      <c r="B92" s="95"/>
      <c r="C92" s="95">
        <f>'P&amp;L FINAL FY22'!B309</f>
        <v>118700</v>
      </c>
      <c r="D92" s="90"/>
      <c r="E92" s="91"/>
      <c r="F92" s="92"/>
    </row>
    <row r="93" spans="1:8" s="39" customFormat="1" x14ac:dyDescent="0.2">
      <c r="A93" s="41" t="s">
        <v>173</v>
      </c>
      <c r="B93" s="50">
        <f>SUM(B4:B90)</f>
        <v>1639500</v>
      </c>
      <c r="C93" s="50">
        <f>SUM(C4:C92)</f>
        <v>2345094.89</v>
      </c>
      <c r="D93" s="60"/>
    </row>
    <row r="94" spans="1:8" x14ac:dyDescent="0.2">
      <c r="A94" s="37"/>
      <c r="B94" s="89"/>
      <c r="C94" s="89"/>
      <c r="D94" s="38"/>
    </row>
    <row r="95" spans="1:8" x14ac:dyDescent="0.2">
      <c r="A95" s="37"/>
      <c r="B95" s="40"/>
      <c r="C95" s="40"/>
      <c r="D95" s="38"/>
    </row>
    <row r="96" spans="1:8" x14ac:dyDescent="0.2">
      <c r="A96" s="41" t="s">
        <v>115</v>
      </c>
      <c r="B96" s="41" t="s">
        <v>4</v>
      </c>
      <c r="C96" s="41" t="s">
        <v>118</v>
      </c>
      <c r="D96" s="39"/>
      <c r="E96" s="39"/>
    </row>
    <row r="97" spans="1:6" x14ac:dyDescent="0.2">
      <c r="A97" s="37" t="s">
        <v>116</v>
      </c>
      <c r="B97" s="40"/>
      <c r="C97" s="40"/>
      <c r="D97" s="38"/>
      <c r="E97" s="38"/>
    </row>
    <row r="98" spans="1:6" x14ac:dyDescent="0.2">
      <c r="A98" s="37" t="s">
        <v>136</v>
      </c>
      <c r="B98" s="40">
        <v>125000</v>
      </c>
      <c r="C98" s="40"/>
      <c r="D98" s="38"/>
      <c r="E98" s="15" t="s">
        <v>48</v>
      </c>
      <c r="F98" s="16" t="s">
        <v>49</v>
      </c>
    </row>
    <row r="99" spans="1:6" ht="61" x14ac:dyDescent="0.2">
      <c r="A99" s="72" t="s">
        <v>614</v>
      </c>
      <c r="B99" s="40"/>
      <c r="C99" s="40">
        <f>'P&amp;L FINAL FY22'!B157</f>
        <v>26332.04</v>
      </c>
      <c r="D99" s="38"/>
      <c r="E99" s="70"/>
      <c r="F99" s="71"/>
    </row>
    <row r="100" spans="1:6" x14ac:dyDescent="0.2">
      <c r="A100" s="73" t="s">
        <v>454</v>
      </c>
      <c r="B100" s="40"/>
      <c r="C100" s="40">
        <f>'P&amp;L FINAL FY22'!B280</f>
        <v>24132.13</v>
      </c>
      <c r="D100" s="38"/>
      <c r="E100" s="70"/>
      <c r="F100" s="71"/>
    </row>
    <row r="101" spans="1:6" x14ac:dyDescent="0.2">
      <c r="A101" s="73" t="s">
        <v>455</v>
      </c>
      <c r="B101" s="40"/>
      <c r="C101" s="40">
        <f>'P&amp;L FINAL FY22'!B281</f>
        <v>50020.4</v>
      </c>
      <c r="D101" s="38"/>
      <c r="E101" s="70"/>
      <c r="F101" s="71"/>
    </row>
    <row r="102" spans="1:6" x14ac:dyDescent="0.2">
      <c r="A102" s="85" t="s">
        <v>461</v>
      </c>
      <c r="B102" s="40"/>
      <c r="C102" s="40">
        <f>'P&amp;L FINAL FY22'!B287</f>
        <v>4687.58</v>
      </c>
      <c r="D102" s="38"/>
      <c r="E102" s="70"/>
      <c r="F102" s="71"/>
    </row>
    <row r="103" spans="1:6" x14ac:dyDescent="0.2">
      <c r="A103" s="101" t="s">
        <v>224</v>
      </c>
      <c r="B103" s="104"/>
      <c r="C103" s="104">
        <f>'P&amp;L FINAL FY22'!B50</f>
        <v>1575.6</v>
      </c>
      <c r="D103" s="38"/>
      <c r="E103" s="70"/>
      <c r="F103" s="71"/>
    </row>
    <row r="104" spans="1:6" x14ac:dyDescent="0.2">
      <c r="A104" s="37" t="s">
        <v>137</v>
      </c>
      <c r="B104" s="40">
        <v>5000</v>
      </c>
      <c r="C104" s="40"/>
      <c r="D104" s="38"/>
      <c r="E104" s="15" t="s">
        <v>50</v>
      </c>
      <c r="F104" s="16" t="s">
        <v>51</v>
      </c>
    </row>
    <row r="105" spans="1:6" x14ac:dyDescent="0.2">
      <c r="A105" s="73" t="s">
        <v>459</v>
      </c>
      <c r="B105" s="40"/>
      <c r="C105" s="40">
        <f>'P&amp;L FINAL FY22'!B285</f>
        <v>945.91</v>
      </c>
      <c r="D105" s="38"/>
      <c r="E105" s="70"/>
      <c r="F105" s="71"/>
    </row>
    <row r="106" spans="1:6" x14ac:dyDescent="0.2">
      <c r="A106" s="37" t="s">
        <v>138</v>
      </c>
      <c r="B106" s="40"/>
      <c r="C106" s="40"/>
      <c r="D106" s="38"/>
    </row>
    <row r="107" spans="1:6" x14ac:dyDescent="0.2">
      <c r="A107" s="37" t="s">
        <v>139</v>
      </c>
      <c r="B107" s="40">
        <v>83000</v>
      </c>
      <c r="C107" s="40"/>
      <c r="D107" s="38"/>
      <c r="E107" s="11" t="s">
        <v>76</v>
      </c>
      <c r="F107" s="12" t="s">
        <v>77</v>
      </c>
    </row>
    <row r="108" spans="1:6" x14ac:dyDescent="0.2">
      <c r="A108" s="73" t="s">
        <v>423</v>
      </c>
      <c r="B108" s="40"/>
      <c r="C108" s="40">
        <f>'P&amp;L FINAL FY22'!B249</f>
        <v>148410.20000000001</v>
      </c>
      <c r="D108" s="38"/>
      <c r="E108" s="70"/>
      <c r="F108" s="71"/>
    </row>
    <row r="109" spans="1:6" x14ac:dyDescent="0.2">
      <c r="A109" s="73" t="s">
        <v>424</v>
      </c>
      <c r="B109" s="40"/>
      <c r="C109" s="40">
        <f>'P&amp;L FINAL FY22'!B250</f>
        <v>23783.24</v>
      </c>
      <c r="D109" s="38"/>
      <c r="E109" s="70"/>
      <c r="F109" s="71"/>
    </row>
    <row r="110" spans="1:6" ht="37" x14ac:dyDescent="0.2">
      <c r="A110" s="72" t="s">
        <v>619</v>
      </c>
      <c r="B110" s="40"/>
      <c r="C110" s="40">
        <f>'P&amp;L FINAL FY22'!B254</f>
        <v>36069.129999999997</v>
      </c>
      <c r="D110" s="38"/>
      <c r="E110" s="70"/>
      <c r="F110" s="71"/>
    </row>
    <row r="111" spans="1:6" x14ac:dyDescent="0.2">
      <c r="A111" s="73" t="s">
        <v>429</v>
      </c>
      <c r="B111" s="40"/>
      <c r="C111" s="40">
        <f>'P&amp;L FINAL FY22'!B255</f>
        <v>500.08</v>
      </c>
      <c r="D111" s="38"/>
      <c r="E111" s="70"/>
      <c r="F111" s="71"/>
    </row>
    <row r="112" spans="1:6" x14ac:dyDescent="0.2">
      <c r="A112" s="73" t="s">
        <v>430</v>
      </c>
      <c r="B112" s="40"/>
      <c r="C112" s="40">
        <f>'P&amp;L FINAL FY22'!B256</f>
        <v>36175.86</v>
      </c>
      <c r="D112" s="38"/>
      <c r="E112" s="70"/>
      <c r="F112" s="71"/>
    </row>
    <row r="113" spans="1:6" x14ac:dyDescent="0.2">
      <c r="A113" s="73" t="s">
        <v>431</v>
      </c>
      <c r="B113" s="40"/>
      <c r="C113" s="40">
        <f>'P&amp;L FINAL FY22'!B257</f>
        <v>73542.83</v>
      </c>
      <c r="D113" s="38"/>
      <c r="E113" s="70"/>
      <c r="F113" s="71"/>
    </row>
    <row r="114" spans="1:6" x14ac:dyDescent="0.2">
      <c r="A114" s="73" t="s">
        <v>432</v>
      </c>
      <c r="B114" s="40"/>
      <c r="C114" s="40">
        <f>'P&amp;L FINAL FY22'!B258</f>
        <v>16448.87</v>
      </c>
      <c r="D114" s="38"/>
      <c r="E114" s="70"/>
      <c r="F114" s="71"/>
    </row>
    <row r="115" spans="1:6" x14ac:dyDescent="0.2">
      <c r="A115" s="37" t="s">
        <v>140</v>
      </c>
      <c r="B115" s="40">
        <v>10000</v>
      </c>
      <c r="C115" s="40"/>
      <c r="D115" s="38"/>
      <c r="E115" s="11" t="s">
        <v>76</v>
      </c>
      <c r="F115" s="12" t="s">
        <v>78</v>
      </c>
    </row>
    <row r="116" spans="1:6" x14ac:dyDescent="0.2">
      <c r="A116" s="101" t="s">
        <v>239</v>
      </c>
      <c r="B116" s="104"/>
      <c r="C116" s="104">
        <f>'P&amp;L FINAL FY22'!B65</f>
        <v>5335</v>
      </c>
      <c r="D116" s="38"/>
      <c r="E116" s="70"/>
      <c r="F116" s="71"/>
    </row>
    <row r="117" spans="1:6" x14ac:dyDescent="0.2">
      <c r="A117" s="37" t="s">
        <v>141</v>
      </c>
      <c r="B117" s="40">
        <v>5000</v>
      </c>
      <c r="C117" s="40"/>
      <c r="D117" s="38"/>
      <c r="E117" s="11" t="s">
        <v>79</v>
      </c>
      <c r="F117" s="12" t="s">
        <v>80</v>
      </c>
    </row>
    <row r="118" spans="1:6" x14ac:dyDescent="0.2">
      <c r="A118" s="101" t="s">
        <v>290</v>
      </c>
      <c r="B118" s="104"/>
      <c r="C118" s="104">
        <f>'P&amp;L FINAL FY22'!B116</f>
        <v>0</v>
      </c>
      <c r="D118" s="38"/>
      <c r="E118" s="70"/>
      <c r="F118" s="71"/>
    </row>
    <row r="119" spans="1:6" x14ac:dyDescent="0.2">
      <c r="A119" s="101" t="s">
        <v>345</v>
      </c>
      <c r="B119" s="104"/>
      <c r="C119" s="104">
        <f>'P&amp;L FINAL FY22'!B171</f>
        <v>0</v>
      </c>
      <c r="D119" s="38"/>
      <c r="E119" s="70"/>
      <c r="F119" s="71"/>
    </row>
    <row r="120" spans="1:6" x14ac:dyDescent="0.2">
      <c r="A120" s="101" t="s">
        <v>436</v>
      </c>
      <c r="B120" s="104"/>
      <c r="C120" s="104">
        <f>'P&amp;L FINAL FY22'!B262</f>
        <v>131.33000000000001</v>
      </c>
      <c r="D120" s="38"/>
      <c r="E120" s="70"/>
      <c r="F120" s="71"/>
    </row>
    <row r="121" spans="1:6" x14ac:dyDescent="0.2">
      <c r="A121" s="101" t="s">
        <v>437</v>
      </c>
      <c r="B121" s="104"/>
      <c r="C121" s="104">
        <f>'P&amp;L FINAL FY22'!B263</f>
        <v>19.68</v>
      </c>
      <c r="D121" s="38"/>
      <c r="E121" s="70"/>
      <c r="F121" s="71"/>
    </row>
    <row r="122" spans="1:6" x14ac:dyDescent="0.2">
      <c r="A122" s="101" t="s">
        <v>439</v>
      </c>
      <c r="B122" s="104"/>
      <c r="C122" s="104">
        <f>'P&amp;L FINAL FY22'!B266</f>
        <v>232.61</v>
      </c>
      <c r="D122" s="38"/>
      <c r="E122" s="70"/>
      <c r="F122" s="71"/>
    </row>
    <row r="123" spans="1:6" x14ac:dyDescent="0.2">
      <c r="A123" s="105" t="s">
        <v>621</v>
      </c>
      <c r="B123" s="104"/>
      <c r="C123" s="104">
        <v>0</v>
      </c>
      <c r="D123" s="38"/>
      <c r="E123" s="70"/>
      <c r="F123" s="71"/>
    </row>
    <row r="124" spans="1:6" x14ac:dyDescent="0.2">
      <c r="A124" s="101" t="s">
        <v>441</v>
      </c>
      <c r="B124" s="104"/>
      <c r="C124" s="104">
        <f>'P&amp;L FINAL FY22'!B267</f>
        <v>590.71</v>
      </c>
      <c r="D124" s="38"/>
      <c r="E124" s="70"/>
      <c r="F124" s="71"/>
    </row>
    <row r="125" spans="1:6" x14ac:dyDescent="0.2">
      <c r="A125" s="101" t="s">
        <v>442</v>
      </c>
      <c r="B125" s="104"/>
      <c r="C125" s="104">
        <f>'P&amp;L FINAL FY22'!B268</f>
        <v>6302.11</v>
      </c>
      <c r="D125" s="38"/>
      <c r="E125" s="70"/>
      <c r="F125" s="71"/>
    </row>
    <row r="126" spans="1:6" x14ac:dyDescent="0.2">
      <c r="A126" s="101" t="s">
        <v>443</v>
      </c>
      <c r="B126" s="104"/>
      <c r="C126" s="104">
        <f>'P&amp;L FINAL FY22'!B269</f>
        <v>4118</v>
      </c>
      <c r="D126" s="38"/>
      <c r="E126" s="70"/>
      <c r="F126" s="71"/>
    </row>
    <row r="127" spans="1:6" x14ac:dyDescent="0.2">
      <c r="A127" s="37" t="s">
        <v>142</v>
      </c>
      <c r="B127" s="40">
        <v>10000</v>
      </c>
      <c r="C127" s="40"/>
      <c r="D127" s="38"/>
      <c r="E127" s="11" t="s">
        <v>79</v>
      </c>
      <c r="F127" s="12" t="s">
        <v>81</v>
      </c>
    </row>
    <row r="128" spans="1:6" ht="25" x14ac:dyDescent="0.2">
      <c r="A128" s="101" t="s">
        <v>622</v>
      </c>
      <c r="B128" s="104"/>
      <c r="C128" s="104">
        <f>'P&amp;L FINAL FY22'!B64</f>
        <v>5190</v>
      </c>
      <c r="D128" s="38"/>
      <c r="E128" s="70"/>
      <c r="F128" s="71"/>
    </row>
    <row r="129" spans="1:8" x14ac:dyDescent="0.2">
      <c r="A129" s="37" t="s">
        <v>143</v>
      </c>
      <c r="B129" s="40"/>
      <c r="C129" s="40"/>
      <c r="D129" s="38"/>
    </row>
    <row r="130" spans="1:8" x14ac:dyDescent="0.2">
      <c r="A130" s="37" t="s">
        <v>144</v>
      </c>
      <c r="B130" s="40">
        <v>52500</v>
      </c>
      <c r="C130" s="40"/>
      <c r="D130" s="38"/>
      <c r="E130" s="15">
        <v>34</v>
      </c>
      <c r="F130" s="16" t="s">
        <v>70</v>
      </c>
    </row>
    <row r="131" spans="1:8" x14ac:dyDescent="0.2">
      <c r="A131" s="73" t="s">
        <v>448</v>
      </c>
      <c r="B131" s="40"/>
      <c r="C131" s="40">
        <f>'P&amp;L FINAL FY22'!B274</f>
        <v>3999.96</v>
      </c>
      <c r="D131" s="38"/>
      <c r="E131" s="70"/>
      <c r="F131" s="71"/>
    </row>
    <row r="132" spans="1:8" x14ac:dyDescent="0.2">
      <c r="A132" s="73" t="s">
        <v>449</v>
      </c>
      <c r="B132" s="40"/>
      <c r="C132" s="40">
        <f>'P&amp;L FINAL FY22'!B275</f>
        <v>15000</v>
      </c>
      <c r="D132" s="38"/>
      <c r="E132" s="70"/>
      <c r="F132" s="71"/>
    </row>
    <row r="133" spans="1:8" x14ac:dyDescent="0.2">
      <c r="A133" s="73" t="s">
        <v>467</v>
      </c>
      <c r="B133" s="40"/>
      <c r="C133" s="40">
        <f>'P&amp;L FINAL FY22'!B293</f>
        <v>13965.44</v>
      </c>
      <c r="D133" s="38"/>
      <c r="E133" s="70"/>
      <c r="F133" s="71"/>
    </row>
    <row r="134" spans="1:8" x14ac:dyDescent="0.2">
      <c r="A134" s="73" t="s">
        <v>468</v>
      </c>
      <c r="B134" s="40"/>
      <c r="C134" s="40">
        <f>'P&amp;L FINAL FY22'!B294</f>
        <v>10000</v>
      </c>
      <c r="D134" s="38"/>
      <c r="E134" s="70"/>
      <c r="F134" s="71"/>
    </row>
    <row r="135" spans="1:8" x14ac:dyDescent="0.2">
      <c r="A135" s="94" t="s">
        <v>608</v>
      </c>
      <c r="B135" s="104"/>
      <c r="C135" s="104">
        <v>7500</v>
      </c>
      <c r="D135" s="38"/>
      <c r="E135" s="74"/>
      <c r="F135" s="75"/>
      <c r="H135" s="93"/>
    </row>
    <row r="136" spans="1:8" x14ac:dyDescent="0.2">
      <c r="A136" s="37" t="s">
        <v>145</v>
      </c>
      <c r="B136" s="40">
        <v>35000</v>
      </c>
      <c r="C136" s="40"/>
      <c r="D136" s="38"/>
      <c r="E136" s="15">
        <v>35</v>
      </c>
      <c r="F136" s="16" t="s">
        <v>71</v>
      </c>
    </row>
    <row r="137" spans="1:8" x14ac:dyDescent="0.2">
      <c r="A137" s="73" t="s">
        <v>453</v>
      </c>
      <c r="B137" s="40"/>
      <c r="C137" s="40">
        <f>'P&amp;L FINAL FY22'!B279</f>
        <v>18000.580000000002</v>
      </c>
      <c r="D137" s="38"/>
      <c r="E137" s="70"/>
      <c r="F137" s="71"/>
    </row>
    <row r="138" spans="1:8" x14ac:dyDescent="0.2">
      <c r="A138" s="73" t="s">
        <v>456</v>
      </c>
      <c r="B138" s="40"/>
      <c r="C138" s="40">
        <f>'P&amp;L FINAL FY22'!B282</f>
        <v>8994</v>
      </c>
      <c r="D138" s="38"/>
      <c r="E138" s="70"/>
      <c r="F138" s="71"/>
    </row>
    <row r="139" spans="1:8" x14ac:dyDescent="0.2">
      <c r="A139" s="73" t="s">
        <v>462</v>
      </c>
      <c r="B139" s="40"/>
      <c r="C139" s="40">
        <f>'P&amp;L FINAL FY22'!B288</f>
        <v>7740.93</v>
      </c>
      <c r="D139" s="38"/>
      <c r="E139" s="70"/>
      <c r="F139" s="71"/>
    </row>
    <row r="140" spans="1:8" x14ac:dyDescent="0.2">
      <c r="A140" s="73" t="s">
        <v>464</v>
      </c>
      <c r="B140" s="40"/>
      <c r="C140" s="40">
        <f>'P&amp;L FINAL FY22'!B290</f>
        <v>550</v>
      </c>
      <c r="D140" s="38"/>
      <c r="E140" s="70"/>
      <c r="F140" s="71"/>
    </row>
    <row r="141" spans="1:8" x14ac:dyDescent="0.2">
      <c r="A141" s="37" t="s">
        <v>146</v>
      </c>
      <c r="B141" s="40">
        <v>15000</v>
      </c>
      <c r="C141" s="40"/>
      <c r="D141" s="38"/>
      <c r="E141" s="15">
        <v>36</v>
      </c>
      <c r="F141" s="16" t="s">
        <v>72</v>
      </c>
    </row>
    <row r="142" spans="1:8" ht="37" x14ac:dyDescent="0.2">
      <c r="A142" s="72" t="s">
        <v>620</v>
      </c>
      <c r="B142" s="40"/>
      <c r="C142" s="40">
        <f>'P&amp;L FINAL FY22'!B300</f>
        <v>12523.1</v>
      </c>
      <c r="D142" s="38"/>
      <c r="E142" s="70"/>
      <c r="F142" s="71"/>
    </row>
    <row r="143" spans="1:8" x14ac:dyDescent="0.2">
      <c r="A143" s="37" t="s">
        <v>147</v>
      </c>
      <c r="B143" s="40"/>
      <c r="C143" s="40"/>
      <c r="D143" s="38"/>
    </row>
    <row r="144" spans="1:8" ht="24" x14ac:dyDescent="0.2">
      <c r="A144" s="37" t="s">
        <v>148</v>
      </c>
      <c r="B144" s="40">
        <v>67500</v>
      </c>
      <c r="C144" s="40"/>
      <c r="D144" s="38"/>
      <c r="E144" s="52" t="s">
        <v>582</v>
      </c>
      <c r="F144" s="53" t="s">
        <v>583</v>
      </c>
    </row>
    <row r="145" spans="1:8" ht="193" x14ac:dyDescent="0.2">
      <c r="A145" s="103" t="s">
        <v>623</v>
      </c>
      <c r="B145" s="104"/>
      <c r="C145" s="104">
        <f>'P&amp;L FINAL FY22'!B145</f>
        <v>116657</v>
      </c>
      <c r="D145" s="38"/>
      <c r="E145" s="74"/>
      <c r="F145" s="75"/>
    </row>
    <row r="146" spans="1:8" ht="49" x14ac:dyDescent="0.2">
      <c r="A146" s="103" t="s">
        <v>593</v>
      </c>
      <c r="B146" s="104"/>
      <c r="C146" s="104">
        <f>'P&amp;L FINAL FY22'!B22</f>
        <v>9510</v>
      </c>
      <c r="D146" s="38"/>
      <c r="E146" s="74"/>
      <c r="F146" s="75"/>
    </row>
    <row r="147" spans="1:8" ht="73" x14ac:dyDescent="0.2">
      <c r="A147" s="103" t="s">
        <v>594</v>
      </c>
      <c r="B147" s="104"/>
      <c r="C147" s="104">
        <f>'P&amp;L FINAL FY22'!B29</f>
        <v>202720.28</v>
      </c>
      <c r="D147" s="38"/>
      <c r="E147" s="74"/>
      <c r="F147" s="75"/>
    </row>
    <row r="148" spans="1:8" ht="24" x14ac:dyDescent="0.2">
      <c r="A148" s="37" t="s">
        <v>149</v>
      </c>
      <c r="B148" s="40">
        <v>130000</v>
      </c>
      <c r="C148" s="40"/>
      <c r="D148" s="38"/>
      <c r="E148" s="52" t="s">
        <v>584</v>
      </c>
      <c r="F148" s="53" t="s">
        <v>585</v>
      </c>
    </row>
    <row r="149" spans="1:8" x14ac:dyDescent="0.2">
      <c r="A149" s="101" t="s">
        <v>297</v>
      </c>
      <c r="B149" s="102"/>
      <c r="C149" s="104">
        <f>'P&amp;L FINAL FY22'!B123</f>
        <v>5002</v>
      </c>
      <c r="D149" s="38"/>
      <c r="E149" s="74"/>
      <c r="F149" s="75"/>
    </row>
    <row r="150" spans="1:8" x14ac:dyDescent="0.2">
      <c r="A150" s="73" t="s">
        <v>298</v>
      </c>
      <c r="B150" s="37"/>
      <c r="C150" s="40">
        <f>'P&amp;L FINAL FY22'!B124</f>
        <v>2515</v>
      </c>
      <c r="D150" s="38"/>
      <c r="E150" s="74"/>
      <c r="F150" s="75"/>
      <c r="H150" s="93"/>
    </row>
    <row r="151" spans="1:8" x14ac:dyDescent="0.2">
      <c r="A151" s="101" t="s">
        <v>299</v>
      </c>
      <c r="B151" s="102"/>
      <c r="C151" s="104">
        <f>'P&amp;L FINAL FY22'!B125</f>
        <v>14640</v>
      </c>
      <c r="D151" s="38"/>
      <c r="E151" s="74"/>
      <c r="F151" s="75"/>
      <c r="H151" s="93"/>
    </row>
    <row r="152" spans="1:8" x14ac:dyDescent="0.2">
      <c r="A152" s="101" t="s">
        <v>300</v>
      </c>
      <c r="B152" s="104"/>
      <c r="C152" s="104">
        <f>'P&amp;L FINAL FY22'!B126</f>
        <v>10017</v>
      </c>
      <c r="D152" s="38"/>
      <c r="E152" s="74"/>
      <c r="F152" s="75"/>
      <c r="H152" s="93"/>
    </row>
    <row r="153" spans="1:8" x14ac:dyDescent="0.2">
      <c r="A153" s="73" t="s">
        <v>325</v>
      </c>
      <c r="B153" s="40"/>
      <c r="C153" s="40">
        <f>'P&amp;L FINAL FY22'!B151</f>
        <v>4865</v>
      </c>
      <c r="D153" s="38"/>
      <c r="E153" s="74"/>
      <c r="F153" s="75"/>
      <c r="H153" s="93"/>
    </row>
    <row r="154" spans="1:8" ht="24" x14ac:dyDescent="0.2">
      <c r="A154" s="37" t="s">
        <v>150</v>
      </c>
      <c r="B154" s="40">
        <v>16000</v>
      </c>
      <c r="C154" s="40"/>
      <c r="D154" s="38"/>
      <c r="E154" s="52" t="s">
        <v>586</v>
      </c>
      <c r="F154" s="53" t="s">
        <v>587</v>
      </c>
      <c r="H154" s="93"/>
    </row>
    <row r="155" spans="1:8" ht="49" x14ac:dyDescent="0.2">
      <c r="A155" s="72" t="s">
        <v>613</v>
      </c>
      <c r="B155" s="40"/>
      <c r="C155" s="40">
        <f>'P&amp;L FINAL FY22'!B150</f>
        <v>20019</v>
      </c>
      <c r="D155" s="38"/>
      <c r="E155" s="74"/>
      <c r="F155" s="75"/>
      <c r="H155" s="93"/>
    </row>
    <row r="156" spans="1:8" ht="37" x14ac:dyDescent="0.2">
      <c r="A156" s="103" t="s">
        <v>596</v>
      </c>
      <c r="B156" s="104"/>
      <c r="C156" s="104">
        <f>'P&amp;L FINAL FY22'!B37</f>
        <v>11000</v>
      </c>
      <c r="D156" s="38"/>
      <c r="E156" s="74"/>
      <c r="F156" s="75"/>
      <c r="H156" s="93"/>
    </row>
    <row r="157" spans="1:8" x14ac:dyDescent="0.2">
      <c r="A157" s="101" t="s">
        <v>413</v>
      </c>
      <c r="B157" s="104"/>
      <c r="C157" s="104">
        <f>'P&amp;L FINAL FY22'!B239</f>
        <v>18976.95</v>
      </c>
      <c r="D157" s="38"/>
      <c r="E157" s="74"/>
      <c r="F157" s="75"/>
      <c r="H157" s="93"/>
    </row>
    <row r="158" spans="1:8" ht="24" x14ac:dyDescent="0.2">
      <c r="A158" s="37" t="s">
        <v>151</v>
      </c>
      <c r="B158" s="40">
        <v>22500</v>
      </c>
      <c r="C158" s="40"/>
      <c r="D158" s="38"/>
      <c r="E158" s="59" t="s">
        <v>589</v>
      </c>
      <c r="F158" s="58" t="s">
        <v>588</v>
      </c>
      <c r="H158" s="93"/>
    </row>
    <row r="159" spans="1:8" x14ac:dyDescent="0.2">
      <c r="A159" s="101" t="s">
        <v>264</v>
      </c>
      <c r="B159" s="104"/>
      <c r="C159" s="104">
        <f>'P&amp;L FINAL FY22'!B90</f>
        <v>24303.7</v>
      </c>
      <c r="D159" s="38"/>
      <c r="E159" s="74"/>
      <c r="F159" s="75"/>
      <c r="H159" s="93"/>
    </row>
    <row r="160" spans="1:8" x14ac:dyDescent="0.2">
      <c r="A160" s="37" t="s">
        <v>152</v>
      </c>
      <c r="B160" s="40">
        <v>50000</v>
      </c>
      <c r="C160" s="40"/>
      <c r="D160" s="38"/>
      <c r="E160" s="17">
        <v>22</v>
      </c>
      <c r="F160" s="18" t="s">
        <v>68</v>
      </c>
      <c r="H160" s="93"/>
    </row>
    <row r="161" spans="1:8" x14ac:dyDescent="0.2">
      <c r="A161" s="101" t="s">
        <v>287</v>
      </c>
      <c r="B161" s="104"/>
      <c r="C161" s="104">
        <f>'P&amp;L FINAL FY22'!B113</f>
        <v>0</v>
      </c>
      <c r="D161" s="38"/>
      <c r="E161" s="70"/>
      <c r="F161" s="71"/>
      <c r="H161" s="93"/>
    </row>
    <row r="162" spans="1:8" x14ac:dyDescent="0.2">
      <c r="A162" s="101" t="s">
        <v>288</v>
      </c>
      <c r="B162" s="104"/>
      <c r="C162" s="104">
        <f>'P&amp;L FINAL FY22'!B114</f>
        <v>0</v>
      </c>
      <c r="D162" s="38"/>
      <c r="E162" s="70"/>
      <c r="F162" s="71"/>
      <c r="H162" s="93"/>
    </row>
    <row r="163" spans="1:8" x14ac:dyDescent="0.2">
      <c r="A163" s="101" t="s">
        <v>342</v>
      </c>
      <c r="B163" s="104"/>
      <c r="C163" s="104">
        <f>'P&amp;L FINAL FY22'!B168</f>
        <v>0</v>
      </c>
      <c r="D163" s="38"/>
      <c r="E163" s="70"/>
      <c r="F163" s="71"/>
      <c r="H163" s="93"/>
    </row>
    <row r="164" spans="1:8" x14ac:dyDescent="0.2">
      <c r="A164" s="101" t="s">
        <v>343</v>
      </c>
      <c r="B164" s="104"/>
      <c r="C164" s="104">
        <f>'P&amp;L FINAL FY22'!B169</f>
        <v>0</v>
      </c>
      <c r="D164" s="38"/>
      <c r="E164" s="70"/>
      <c r="F164" s="71"/>
      <c r="H164" s="93"/>
    </row>
    <row r="165" spans="1:8" x14ac:dyDescent="0.2">
      <c r="A165" s="73" t="s">
        <v>366</v>
      </c>
      <c r="B165" s="40"/>
      <c r="C165" s="40">
        <f>'P&amp;L FINAL FY22'!B192</f>
        <v>2000</v>
      </c>
      <c r="D165" s="38"/>
      <c r="E165" s="70"/>
      <c r="F165" s="71"/>
      <c r="H165" s="93"/>
    </row>
    <row r="166" spans="1:8" x14ac:dyDescent="0.2">
      <c r="A166" s="101" t="s">
        <v>187</v>
      </c>
      <c r="B166" s="104"/>
      <c r="C166" s="104">
        <f>'P&amp;L FINAL FY22'!B13</f>
        <v>1872</v>
      </c>
      <c r="D166" s="38"/>
      <c r="E166" s="70"/>
      <c r="F166" s="71"/>
      <c r="H166" s="93"/>
    </row>
    <row r="167" spans="1:8" x14ac:dyDescent="0.2">
      <c r="A167" s="101" t="s">
        <v>233</v>
      </c>
      <c r="B167" s="104"/>
      <c r="C167" s="104">
        <f>'P&amp;L FINAL FY22'!B59</f>
        <v>18200</v>
      </c>
      <c r="D167" s="38"/>
      <c r="E167" s="70"/>
      <c r="F167" s="71"/>
      <c r="H167" s="93"/>
    </row>
    <row r="168" spans="1:8" ht="24" x14ac:dyDescent="0.2">
      <c r="A168" s="37" t="s">
        <v>153</v>
      </c>
      <c r="B168" s="40">
        <v>151000</v>
      </c>
      <c r="C168" s="40"/>
      <c r="D168" s="38"/>
      <c r="E168" s="59" t="s">
        <v>591</v>
      </c>
      <c r="F168" s="58" t="s">
        <v>590</v>
      </c>
      <c r="H168" s="93"/>
    </row>
    <row r="169" spans="1:8" ht="37" x14ac:dyDescent="0.2">
      <c r="A169" s="103" t="s">
        <v>595</v>
      </c>
      <c r="B169" s="104"/>
      <c r="C169" s="104">
        <f>'P&amp;L FINAL FY22'!B33</f>
        <v>213785</v>
      </c>
      <c r="D169" s="38"/>
      <c r="E169" s="74"/>
      <c r="F169" s="75"/>
      <c r="H169" s="93"/>
    </row>
    <row r="170" spans="1:8" ht="25" x14ac:dyDescent="0.2">
      <c r="A170" s="101" t="s">
        <v>597</v>
      </c>
      <c r="B170" s="104"/>
      <c r="C170" s="104">
        <f>'P&amp;L FINAL FY22'!B40</f>
        <v>1525</v>
      </c>
      <c r="D170" s="38"/>
      <c r="E170" s="74"/>
      <c r="F170" s="75"/>
      <c r="H170" s="93"/>
    </row>
    <row r="171" spans="1:8" x14ac:dyDescent="0.2">
      <c r="A171" s="101" t="s">
        <v>217</v>
      </c>
      <c r="B171" s="104"/>
      <c r="C171" s="104">
        <f>'P&amp;L FINAL FY22'!B43</f>
        <v>1000</v>
      </c>
      <c r="D171" s="38"/>
      <c r="E171" s="74"/>
      <c r="F171" s="75"/>
      <c r="H171" s="93"/>
    </row>
    <row r="172" spans="1:8" x14ac:dyDescent="0.2">
      <c r="A172" s="101" t="s">
        <v>225</v>
      </c>
      <c r="B172" s="104"/>
      <c r="C172" s="104">
        <f>'P&amp;L FINAL FY22'!B51</f>
        <v>130400</v>
      </c>
      <c r="D172" s="38"/>
      <c r="E172" s="74"/>
      <c r="F172" s="75"/>
      <c r="H172" s="93"/>
    </row>
    <row r="173" spans="1:8" s="93" customFormat="1" x14ac:dyDescent="0.2">
      <c r="A173" s="37" t="s">
        <v>630</v>
      </c>
      <c r="B173" s="89">
        <f>'Approved Budget FY22'!E64</f>
        <v>20000</v>
      </c>
      <c r="C173" s="89"/>
      <c r="D173" s="90"/>
      <c r="E173" s="15">
        <v>23</v>
      </c>
      <c r="F173" s="16" t="s">
        <v>67</v>
      </c>
    </row>
    <row r="174" spans="1:8" x14ac:dyDescent="0.2">
      <c r="A174" s="101" t="s">
        <v>228</v>
      </c>
      <c r="B174" s="104"/>
      <c r="C174" s="104">
        <f>'P&amp;L FINAL FY22'!B54</f>
        <v>1855</v>
      </c>
      <c r="D174" s="38"/>
      <c r="E174" s="74"/>
      <c r="F174" s="75"/>
      <c r="H174" s="93"/>
    </row>
    <row r="175" spans="1:8" x14ac:dyDescent="0.2">
      <c r="A175" s="101" t="s">
        <v>229</v>
      </c>
      <c r="B175" s="104"/>
      <c r="C175" s="104">
        <f>'P&amp;L FINAL FY22'!B55</f>
        <v>4846.91</v>
      </c>
      <c r="D175" s="38"/>
      <c r="E175" s="74"/>
      <c r="F175" s="75"/>
      <c r="H175" s="93"/>
    </row>
    <row r="176" spans="1:8" x14ac:dyDescent="0.2">
      <c r="A176" s="101" t="s">
        <v>230</v>
      </c>
      <c r="B176" s="104"/>
      <c r="C176" s="104">
        <f>'P&amp;L FINAL FY22'!B56</f>
        <v>10670</v>
      </c>
      <c r="D176" s="38"/>
      <c r="E176" s="74"/>
      <c r="F176" s="75"/>
      <c r="H176" s="93"/>
    </row>
    <row r="177" spans="1:8" x14ac:dyDescent="0.2">
      <c r="A177" s="37" t="s">
        <v>154</v>
      </c>
      <c r="B177" s="40"/>
      <c r="C177" s="40"/>
      <c r="D177" s="38"/>
      <c r="H177" s="93"/>
    </row>
    <row r="178" spans="1:8" x14ac:dyDescent="0.2">
      <c r="A178" s="37" t="s">
        <v>155</v>
      </c>
      <c r="B178" s="40">
        <v>15000</v>
      </c>
      <c r="C178" s="40"/>
      <c r="D178" s="38"/>
      <c r="E178" s="15">
        <v>29</v>
      </c>
      <c r="F178" s="16" t="s">
        <v>62</v>
      </c>
    </row>
    <row r="179" spans="1:8" x14ac:dyDescent="0.2">
      <c r="A179" s="73" t="s">
        <v>476</v>
      </c>
      <c r="B179" s="40"/>
      <c r="C179" s="40">
        <f>'P&amp;L FINAL FY22'!B302</f>
        <v>9967.73</v>
      </c>
      <c r="D179" s="38"/>
      <c r="E179" s="70"/>
      <c r="F179" s="71"/>
    </row>
    <row r="180" spans="1:8" x14ac:dyDescent="0.2">
      <c r="A180" s="37" t="s">
        <v>156</v>
      </c>
      <c r="B180" s="40">
        <v>3000</v>
      </c>
      <c r="C180" s="40"/>
      <c r="D180" s="38"/>
      <c r="E180" s="15">
        <v>30</v>
      </c>
      <c r="F180" s="16" t="s">
        <v>63</v>
      </c>
    </row>
    <row r="181" spans="1:8" x14ac:dyDescent="0.2">
      <c r="A181" s="86" t="s">
        <v>624</v>
      </c>
      <c r="B181" s="40"/>
      <c r="C181" s="40">
        <v>0</v>
      </c>
      <c r="D181" s="38"/>
      <c r="E181" s="70"/>
      <c r="F181" s="71"/>
    </row>
    <row r="182" spans="1:8" x14ac:dyDescent="0.2">
      <c r="A182" s="73" t="s">
        <v>399</v>
      </c>
      <c r="B182" s="40"/>
      <c r="C182" s="40">
        <f>'P&amp;L FINAL FY22'!B225</f>
        <v>6400.99</v>
      </c>
      <c r="D182" s="38"/>
      <c r="E182" s="70"/>
      <c r="F182" s="71"/>
    </row>
    <row r="183" spans="1:8" x14ac:dyDescent="0.2">
      <c r="A183" s="37" t="s">
        <v>157</v>
      </c>
      <c r="B183" s="40">
        <v>2000</v>
      </c>
      <c r="C183" s="40"/>
      <c r="D183" s="38"/>
      <c r="E183" s="15">
        <v>31</v>
      </c>
      <c r="F183" s="16" t="s">
        <v>64</v>
      </c>
    </row>
    <row r="184" spans="1:8" x14ac:dyDescent="0.2">
      <c r="A184" s="73" t="s">
        <v>398</v>
      </c>
      <c r="B184" s="40"/>
      <c r="C184" s="40">
        <f>'P&amp;L FINAL FY22'!B224</f>
        <v>423.75</v>
      </c>
      <c r="D184" s="38"/>
      <c r="E184" s="70"/>
      <c r="F184" s="71"/>
    </row>
    <row r="185" spans="1:8" x14ac:dyDescent="0.2">
      <c r="A185" s="37" t="s">
        <v>158</v>
      </c>
      <c r="B185" s="40">
        <v>3000</v>
      </c>
      <c r="C185" s="40"/>
      <c r="D185" s="38"/>
      <c r="E185" s="15">
        <v>32</v>
      </c>
      <c r="F185" s="16" t="s">
        <v>65</v>
      </c>
    </row>
    <row r="186" spans="1:8" x14ac:dyDescent="0.2">
      <c r="A186" s="73" t="s">
        <v>478</v>
      </c>
      <c r="B186" s="40"/>
      <c r="C186" s="40">
        <f>'P&amp;L FINAL FY22'!B304</f>
        <v>168.73</v>
      </c>
      <c r="D186" s="38"/>
      <c r="E186" s="70"/>
      <c r="F186" s="71"/>
    </row>
    <row r="187" spans="1:8" x14ac:dyDescent="0.2">
      <c r="A187" s="37" t="s">
        <v>159</v>
      </c>
      <c r="B187" s="40">
        <v>15000</v>
      </c>
      <c r="C187" s="40"/>
      <c r="D187" s="38"/>
      <c r="E187" s="15">
        <v>33</v>
      </c>
      <c r="F187" s="16" t="s">
        <v>66</v>
      </c>
    </row>
    <row r="188" spans="1:8" x14ac:dyDescent="0.2">
      <c r="A188" s="73" t="s">
        <v>364</v>
      </c>
      <c r="B188" s="37"/>
      <c r="C188" s="40">
        <f>'P&amp;L FINAL FY22'!B190</f>
        <v>3196.88</v>
      </c>
      <c r="D188" s="38"/>
      <c r="E188" s="70"/>
      <c r="F188" s="71"/>
    </row>
    <row r="189" spans="1:8" x14ac:dyDescent="0.2">
      <c r="A189" s="73" t="s">
        <v>365</v>
      </c>
      <c r="B189" s="40"/>
      <c r="C189" s="40">
        <f>'P&amp;L FINAL FY22'!B191</f>
        <v>5536.98</v>
      </c>
      <c r="D189" s="38"/>
      <c r="E189" s="70"/>
      <c r="F189" s="71"/>
    </row>
    <row r="190" spans="1:8" x14ac:dyDescent="0.2">
      <c r="A190" s="37" t="s">
        <v>117</v>
      </c>
      <c r="B190" s="40"/>
      <c r="C190" s="40"/>
      <c r="D190" s="38"/>
    </row>
    <row r="191" spans="1:8" x14ac:dyDescent="0.2">
      <c r="A191" s="37" t="s">
        <v>160</v>
      </c>
      <c r="B191" s="40">
        <v>630500</v>
      </c>
      <c r="C191" s="40">
        <v>563633.74</v>
      </c>
      <c r="D191" s="38"/>
      <c r="E191" s="15">
        <v>37</v>
      </c>
      <c r="F191" s="16" t="s">
        <v>87</v>
      </c>
    </row>
    <row r="192" spans="1:8" x14ac:dyDescent="0.2">
      <c r="A192" s="73" t="s">
        <v>281</v>
      </c>
      <c r="B192" s="40"/>
      <c r="C192" s="40"/>
      <c r="D192" s="38"/>
      <c r="E192" s="70"/>
      <c r="F192" s="71"/>
      <c r="H192" s="38"/>
    </row>
    <row r="193" spans="1:6" x14ac:dyDescent="0.2">
      <c r="A193" s="73" t="s">
        <v>283</v>
      </c>
      <c r="B193" s="40"/>
      <c r="C193" s="40"/>
      <c r="D193" s="38"/>
      <c r="E193" s="70"/>
      <c r="F193" s="71"/>
    </row>
    <row r="194" spans="1:6" x14ac:dyDescent="0.2">
      <c r="A194" s="73" t="s">
        <v>284</v>
      </c>
      <c r="B194" s="40"/>
      <c r="C194" s="40"/>
      <c r="D194" s="38"/>
      <c r="E194" s="70"/>
      <c r="F194" s="71"/>
    </row>
    <row r="195" spans="1:6" x14ac:dyDescent="0.2">
      <c r="A195" s="73" t="s">
        <v>285</v>
      </c>
      <c r="B195" s="40"/>
      <c r="C195" s="40"/>
      <c r="D195" s="38"/>
      <c r="E195" s="70"/>
      <c r="F195" s="71"/>
    </row>
    <row r="196" spans="1:6" x14ac:dyDescent="0.2">
      <c r="A196" s="73" t="s">
        <v>286</v>
      </c>
      <c r="B196" s="40"/>
      <c r="C196" s="40"/>
      <c r="D196" s="38"/>
      <c r="E196" s="70"/>
      <c r="F196" s="71"/>
    </row>
    <row r="197" spans="1:6" x14ac:dyDescent="0.2">
      <c r="A197" s="73" t="s">
        <v>289</v>
      </c>
      <c r="B197" s="40"/>
      <c r="C197" s="40"/>
      <c r="D197" s="38"/>
      <c r="E197" s="70"/>
      <c r="F197" s="71"/>
    </row>
    <row r="198" spans="1:6" x14ac:dyDescent="0.2">
      <c r="A198" s="73" t="s">
        <v>291</v>
      </c>
      <c r="B198" s="40"/>
      <c r="C198" s="40"/>
      <c r="D198" s="38"/>
      <c r="E198" s="70"/>
      <c r="F198" s="71"/>
    </row>
    <row r="199" spans="1:6" x14ac:dyDescent="0.2">
      <c r="A199" s="73" t="s">
        <v>292</v>
      </c>
      <c r="B199" s="40"/>
      <c r="C199" s="40"/>
      <c r="D199" s="38"/>
      <c r="E199" s="70"/>
      <c r="F199" s="71"/>
    </row>
    <row r="200" spans="1:6" x14ac:dyDescent="0.2">
      <c r="A200" s="73" t="s">
        <v>293</v>
      </c>
      <c r="B200" s="40"/>
      <c r="C200" s="40"/>
      <c r="D200" s="38"/>
      <c r="E200" s="70"/>
      <c r="F200" s="71"/>
    </row>
    <row r="201" spans="1:6" x14ac:dyDescent="0.2">
      <c r="A201" s="94" t="s">
        <v>631</v>
      </c>
      <c r="B201" s="95"/>
      <c r="C201" s="95"/>
      <c r="D201" s="38"/>
      <c r="E201" s="70"/>
      <c r="F201" s="71"/>
    </row>
    <row r="202" spans="1:6" x14ac:dyDescent="0.2">
      <c r="A202" s="73" t="s">
        <v>334</v>
      </c>
      <c r="B202" s="40"/>
      <c r="C202" s="40"/>
      <c r="D202" s="38"/>
      <c r="E202" s="70"/>
      <c r="F202" s="71"/>
    </row>
    <row r="203" spans="1:6" x14ac:dyDescent="0.2">
      <c r="A203" s="73" t="s">
        <v>335</v>
      </c>
      <c r="B203" s="40"/>
      <c r="C203" s="40"/>
      <c r="D203" s="38"/>
      <c r="E203" s="70"/>
      <c r="F203" s="71"/>
    </row>
    <row r="204" spans="1:6" x14ac:dyDescent="0.2">
      <c r="A204" s="73" t="s">
        <v>336</v>
      </c>
      <c r="B204" s="40"/>
      <c r="C204" s="40"/>
      <c r="D204" s="38"/>
      <c r="E204" s="70"/>
      <c r="F204" s="71"/>
    </row>
    <row r="205" spans="1:6" x14ac:dyDescent="0.2">
      <c r="A205" s="73" t="s">
        <v>337</v>
      </c>
      <c r="B205" s="40"/>
      <c r="C205" s="40"/>
      <c r="D205" s="38"/>
      <c r="E205" s="70"/>
      <c r="F205" s="71"/>
    </row>
    <row r="206" spans="1:6" x14ac:dyDescent="0.2">
      <c r="A206" s="73" t="s">
        <v>338</v>
      </c>
      <c r="B206" s="40"/>
      <c r="C206" s="40"/>
      <c r="D206" s="38"/>
      <c r="E206" s="70"/>
      <c r="F206" s="71"/>
    </row>
    <row r="207" spans="1:6" x14ac:dyDescent="0.2">
      <c r="A207" s="73" t="s">
        <v>339</v>
      </c>
      <c r="B207" s="40"/>
      <c r="C207" s="40"/>
      <c r="D207" s="38"/>
      <c r="E207" s="70"/>
      <c r="F207" s="71"/>
    </row>
    <row r="208" spans="1:6" x14ac:dyDescent="0.2">
      <c r="A208" s="73" t="s">
        <v>340</v>
      </c>
      <c r="B208" s="40"/>
      <c r="C208" s="40"/>
      <c r="D208" s="38"/>
      <c r="E208" s="70"/>
      <c r="F208" s="71"/>
    </row>
    <row r="209" spans="1:6" x14ac:dyDescent="0.2">
      <c r="A209" s="73" t="s">
        <v>341</v>
      </c>
      <c r="B209" s="40"/>
      <c r="C209" s="40"/>
      <c r="D209" s="38"/>
      <c r="E209" s="70"/>
      <c r="F209" s="71"/>
    </row>
    <row r="210" spans="1:6" x14ac:dyDescent="0.2">
      <c r="A210" s="73" t="s">
        <v>344</v>
      </c>
      <c r="B210" s="40"/>
      <c r="C210" s="40"/>
      <c r="D210" s="38"/>
      <c r="E210" s="70"/>
      <c r="F210" s="71"/>
    </row>
    <row r="211" spans="1:6" x14ac:dyDescent="0.2">
      <c r="A211" s="73" t="s">
        <v>348</v>
      </c>
      <c r="B211" s="40"/>
      <c r="C211" s="40">
        <f>'P&amp;L FINAL FY22'!B174</f>
        <v>4328.17</v>
      </c>
      <c r="D211" s="38"/>
      <c r="E211" s="70"/>
      <c r="F211" s="71"/>
    </row>
    <row r="212" spans="1:6" ht="157" x14ac:dyDescent="0.2">
      <c r="A212" s="72" t="s">
        <v>615</v>
      </c>
      <c r="B212" s="40"/>
      <c r="C212" s="40">
        <f>'P&amp;L FINAL FY22'!B188</f>
        <v>11104.2</v>
      </c>
      <c r="D212" s="38"/>
      <c r="E212" s="70"/>
      <c r="F212" s="71"/>
    </row>
    <row r="213" spans="1:6" x14ac:dyDescent="0.2">
      <c r="A213" s="44" t="s">
        <v>391</v>
      </c>
      <c r="B213" s="40"/>
      <c r="C213" s="40">
        <v>0</v>
      </c>
      <c r="D213" s="38"/>
      <c r="E213" s="70"/>
      <c r="F213" s="71"/>
    </row>
    <row r="214" spans="1:6" x14ac:dyDescent="0.2">
      <c r="A214" s="37" t="s">
        <v>161</v>
      </c>
      <c r="B214" s="40">
        <v>15000</v>
      </c>
      <c r="C214" s="40"/>
      <c r="D214" s="38"/>
      <c r="E214" s="15">
        <v>38</v>
      </c>
      <c r="F214" s="16" t="s">
        <v>88</v>
      </c>
    </row>
    <row r="215" spans="1:6" x14ac:dyDescent="0.2">
      <c r="A215" s="73" t="s">
        <v>379</v>
      </c>
      <c r="B215" s="40"/>
      <c r="C215" s="40">
        <f>'P&amp;L FINAL FY22'!B205</f>
        <v>16767.900000000001</v>
      </c>
      <c r="D215" s="38"/>
      <c r="E215" s="70"/>
      <c r="F215" s="71"/>
    </row>
    <row r="216" spans="1:6" x14ac:dyDescent="0.2">
      <c r="A216" s="37" t="s">
        <v>162</v>
      </c>
      <c r="B216" s="40">
        <v>10000</v>
      </c>
      <c r="C216" s="40"/>
      <c r="D216" s="38"/>
      <c r="E216" s="15">
        <v>38</v>
      </c>
      <c r="F216" s="16" t="s">
        <v>89</v>
      </c>
    </row>
    <row r="217" spans="1:6" x14ac:dyDescent="0.2">
      <c r="A217" s="73" t="s">
        <v>374</v>
      </c>
      <c r="B217" s="40"/>
      <c r="C217" s="40">
        <f>'P&amp;L FINAL FY22'!B200</f>
        <v>2065.86</v>
      </c>
      <c r="D217" s="38"/>
      <c r="E217" s="70"/>
      <c r="F217" s="71"/>
    </row>
    <row r="218" spans="1:6" x14ac:dyDescent="0.2">
      <c r="A218" s="73" t="s">
        <v>377</v>
      </c>
      <c r="B218" s="40"/>
      <c r="C218" s="40">
        <f>'P&amp;L FINAL FY22'!B203</f>
        <v>6186.68</v>
      </c>
      <c r="D218" s="38"/>
      <c r="E218" s="70"/>
      <c r="F218" s="71"/>
    </row>
    <row r="219" spans="1:6" x14ac:dyDescent="0.2">
      <c r="A219" s="73" t="s">
        <v>387</v>
      </c>
      <c r="B219" s="40"/>
      <c r="C219" s="40">
        <f>'P&amp;L FINAL FY22'!B213</f>
        <v>591</v>
      </c>
      <c r="D219" s="38"/>
      <c r="E219" s="70"/>
      <c r="F219" s="71"/>
    </row>
    <row r="220" spans="1:6" x14ac:dyDescent="0.2">
      <c r="A220" s="37" t="s">
        <v>163</v>
      </c>
      <c r="B220" s="40">
        <v>13000</v>
      </c>
      <c r="C220" s="40"/>
      <c r="D220" s="38"/>
      <c r="E220" s="15">
        <v>38</v>
      </c>
      <c r="F220" s="16" t="s">
        <v>90</v>
      </c>
    </row>
    <row r="221" spans="1:6" x14ac:dyDescent="0.2">
      <c r="A221" s="73" t="s">
        <v>375</v>
      </c>
      <c r="B221" s="40"/>
      <c r="C221" s="40">
        <f>'P&amp;L FINAL FY22'!B201</f>
        <v>3041.39</v>
      </c>
      <c r="D221" s="38"/>
      <c r="E221" s="70"/>
      <c r="F221" s="71"/>
    </row>
    <row r="222" spans="1:6" x14ac:dyDescent="0.2">
      <c r="A222" s="73" t="s">
        <v>376</v>
      </c>
      <c r="B222" s="40"/>
      <c r="C222" s="40">
        <f>'P&amp;L FINAL FY22'!B202</f>
        <v>1104.5</v>
      </c>
      <c r="D222" s="38"/>
      <c r="E222" s="70"/>
      <c r="F222" s="71"/>
    </row>
    <row r="223" spans="1:6" x14ac:dyDescent="0.2">
      <c r="A223" s="73" t="s">
        <v>421</v>
      </c>
      <c r="B223" s="40"/>
      <c r="C223" s="40">
        <f>'P&amp;L FINAL FY22'!B247</f>
        <v>891.14</v>
      </c>
      <c r="D223" s="38"/>
      <c r="E223" s="70"/>
      <c r="F223" s="71"/>
    </row>
    <row r="224" spans="1:6" x14ac:dyDescent="0.2">
      <c r="A224" s="37" t="s">
        <v>164</v>
      </c>
      <c r="B224" s="40">
        <v>0</v>
      </c>
      <c r="C224" s="40"/>
      <c r="D224" s="38"/>
      <c r="E224" s="15">
        <v>39</v>
      </c>
      <c r="F224" s="16" t="s">
        <v>91</v>
      </c>
    </row>
    <row r="225" spans="1:6" ht="37" x14ac:dyDescent="0.2">
      <c r="A225" s="72" t="s">
        <v>618</v>
      </c>
      <c r="B225" s="40"/>
      <c r="C225" s="40">
        <f>'P&amp;L FINAL FY22'!B246</f>
        <v>16467.59</v>
      </c>
      <c r="D225" s="38"/>
      <c r="E225" s="70"/>
      <c r="F225" s="71"/>
    </row>
    <row r="226" spans="1:6" x14ac:dyDescent="0.2">
      <c r="A226" s="37" t="s">
        <v>165</v>
      </c>
      <c r="B226" s="40">
        <v>16000</v>
      </c>
      <c r="C226" s="40"/>
      <c r="D226" s="38"/>
      <c r="E226" s="15">
        <v>40</v>
      </c>
      <c r="F226" s="16" t="s">
        <v>92</v>
      </c>
    </row>
    <row r="227" spans="1:6" ht="37" x14ac:dyDescent="0.2">
      <c r="A227" s="72" t="s">
        <v>625</v>
      </c>
      <c r="B227" s="40"/>
      <c r="C227" s="40">
        <f>'P&amp;L FINAL FY22'!B222</f>
        <v>5423.92</v>
      </c>
      <c r="D227" s="38"/>
      <c r="E227" s="70"/>
      <c r="F227" s="71"/>
    </row>
    <row r="228" spans="1:6" x14ac:dyDescent="0.2">
      <c r="A228" s="37" t="s">
        <v>166</v>
      </c>
      <c r="B228" s="40">
        <v>38000</v>
      </c>
      <c r="C228" s="40"/>
      <c r="D228" s="38"/>
      <c r="E228" s="15">
        <v>41</v>
      </c>
      <c r="F228" s="16" t="s">
        <v>93</v>
      </c>
    </row>
    <row r="229" spans="1:6" x14ac:dyDescent="0.2">
      <c r="A229" s="73" t="s">
        <v>386</v>
      </c>
      <c r="B229" s="40"/>
      <c r="C229" s="40">
        <f>'P&amp;L FINAL FY22'!B212</f>
        <v>35115</v>
      </c>
      <c r="D229" s="38"/>
      <c r="E229" s="70"/>
      <c r="F229" s="71"/>
    </row>
    <row r="230" spans="1:6" x14ac:dyDescent="0.2">
      <c r="A230" s="37" t="s">
        <v>167</v>
      </c>
      <c r="B230" s="40">
        <v>10000</v>
      </c>
      <c r="C230" s="40"/>
      <c r="D230" s="38"/>
      <c r="E230" s="15">
        <v>42</v>
      </c>
      <c r="F230" s="16" t="s">
        <v>94</v>
      </c>
    </row>
    <row r="231" spans="1:6" ht="37" x14ac:dyDescent="0.2">
      <c r="A231" s="72" t="s">
        <v>616</v>
      </c>
      <c r="B231" s="40"/>
      <c r="C231" s="40">
        <f>'P&amp;L FINAL FY22'!B197</f>
        <v>11273.36</v>
      </c>
      <c r="D231" s="38"/>
      <c r="E231" s="70"/>
      <c r="F231" s="71"/>
    </row>
    <row r="232" spans="1:6" x14ac:dyDescent="0.2">
      <c r="A232" s="37" t="s">
        <v>168</v>
      </c>
      <c r="B232" s="40">
        <v>9000</v>
      </c>
      <c r="C232" s="40"/>
      <c r="D232" s="38"/>
      <c r="E232" s="15">
        <v>43</v>
      </c>
      <c r="F232" s="16" t="s">
        <v>95</v>
      </c>
    </row>
    <row r="233" spans="1:6" x14ac:dyDescent="0.2">
      <c r="A233" s="73" t="s">
        <v>477</v>
      </c>
      <c r="B233" s="40"/>
      <c r="C233" s="40">
        <f>'P&amp;L FINAL FY22'!B303</f>
        <v>9668.34</v>
      </c>
      <c r="D233" s="38"/>
      <c r="E233" s="70"/>
      <c r="F233" s="71"/>
    </row>
    <row r="234" spans="1:6" x14ac:dyDescent="0.2">
      <c r="A234" s="37" t="s">
        <v>169</v>
      </c>
      <c r="B234" s="40">
        <v>5000</v>
      </c>
      <c r="C234" s="40"/>
      <c r="D234" s="38"/>
      <c r="E234" s="15">
        <v>44</v>
      </c>
      <c r="F234" s="16" t="s">
        <v>96</v>
      </c>
    </row>
    <row r="235" spans="1:6" x14ac:dyDescent="0.2">
      <c r="A235" s="73" t="s">
        <v>397</v>
      </c>
      <c r="B235" s="40"/>
      <c r="C235" s="40">
        <f>'P&amp;L FINAL FY22'!B223</f>
        <v>191.66</v>
      </c>
      <c r="D235" s="38"/>
      <c r="E235" s="70"/>
      <c r="F235" s="71"/>
    </row>
    <row r="236" spans="1:6" x14ac:dyDescent="0.2">
      <c r="A236" s="73" t="s">
        <v>401</v>
      </c>
      <c r="B236" s="40"/>
      <c r="C236" s="40">
        <f>'P&amp;L FINAL FY22'!B227</f>
        <v>1500</v>
      </c>
      <c r="D236" s="38"/>
      <c r="E236" s="70"/>
      <c r="F236" s="71"/>
    </row>
    <row r="237" spans="1:6" x14ac:dyDescent="0.2">
      <c r="A237" s="37" t="s">
        <v>170</v>
      </c>
      <c r="B237" s="40">
        <v>7000</v>
      </c>
      <c r="C237" s="40"/>
      <c r="D237" s="38"/>
      <c r="E237" s="15">
        <v>45</v>
      </c>
      <c r="F237" s="16" t="s">
        <v>97</v>
      </c>
    </row>
    <row r="238" spans="1:6" x14ac:dyDescent="0.2">
      <c r="A238" s="73" t="s">
        <v>388</v>
      </c>
      <c r="B238" s="40"/>
      <c r="C238" s="40">
        <f>'P&amp;L FINAL FY22'!B214</f>
        <v>2983.2</v>
      </c>
      <c r="D238" s="38"/>
      <c r="E238" s="70"/>
      <c r="F238" s="71"/>
    </row>
    <row r="239" spans="1:6" x14ac:dyDescent="0.2">
      <c r="A239" s="37" t="s">
        <v>581</v>
      </c>
      <c r="B239" s="40">
        <v>6500</v>
      </c>
      <c r="C239" s="40"/>
      <c r="D239" s="38"/>
      <c r="E239" s="15">
        <v>46</v>
      </c>
      <c r="F239" s="16" t="s">
        <v>98</v>
      </c>
    </row>
    <row r="240" spans="1:6" ht="37" x14ac:dyDescent="0.2">
      <c r="A240" s="72" t="s">
        <v>617</v>
      </c>
      <c r="B240" s="40"/>
      <c r="C240" s="40">
        <f>'P&amp;L FINAL FY22'!B211</f>
        <v>910.38</v>
      </c>
      <c r="D240" s="38"/>
      <c r="E240" s="70"/>
      <c r="F240" s="71"/>
    </row>
    <row r="241" spans="1:12" x14ac:dyDescent="0.2">
      <c r="A241" s="37" t="s">
        <v>171</v>
      </c>
      <c r="B241" s="40">
        <v>35000</v>
      </c>
      <c r="C241" s="40"/>
      <c r="D241" s="38"/>
      <c r="E241" s="17" t="s">
        <v>99</v>
      </c>
      <c r="F241" s="18" t="s">
        <v>100</v>
      </c>
    </row>
    <row r="242" spans="1:12" x14ac:dyDescent="0.2">
      <c r="A242" s="101" t="s">
        <v>378</v>
      </c>
      <c r="B242" s="104"/>
      <c r="C242" s="104">
        <f>'P&amp;L FINAL FY22'!B204</f>
        <v>42465</v>
      </c>
      <c r="D242" s="38"/>
      <c r="E242" s="70"/>
      <c r="F242" s="71"/>
    </row>
    <row r="243" spans="1:12" x14ac:dyDescent="0.2">
      <c r="A243" s="37" t="s">
        <v>172</v>
      </c>
      <c r="B243" s="40">
        <v>1000</v>
      </c>
      <c r="C243" s="40"/>
      <c r="D243" s="38"/>
      <c r="E243" s="17" t="s">
        <v>99</v>
      </c>
      <c r="F243" s="18" t="s">
        <v>45</v>
      </c>
    </row>
    <row r="244" spans="1:12" x14ac:dyDescent="0.2">
      <c r="A244" s="37"/>
      <c r="B244" s="40"/>
      <c r="C244" s="40">
        <v>0</v>
      </c>
      <c r="D244" s="38"/>
      <c r="E244" s="70"/>
      <c r="F244" s="71"/>
    </row>
    <row r="245" spans="1:12" x14ac:dyDescent="0.2">
      <c r="A245" s="37" t="s">
        <v>129</v>
      </c>
      <c r="B245" s="40">
        <v>7500</v>
      </c>
      <c r="C245" s="40"/>
      <c r="D245" s="38"/>
      <c r="E245" s="15">
        <v>47</v>
      </c>
      <c r="F245" s="16" t="s">
        <v>101</v>
      </c>
    </row>
    <row r="246" spans="1:12" x14ac:dyDescent="0.2">
      <c r="A246" s="73" t="s">
        <v>389</v>
      </c>
      <c r="B246" s="40"/>
      <c r="C246" s="40">
        <f>'P&amp;L FINAL FY22'!B215</f>
        <v>4960.33</v>
      </c>
      <c r="D246" s="38"/>
      <c r="E246" s="70"/>
      <c r="F246" s="71"/>
    </row>
    <row r="247" spans="1:12" x14ac:dyDescent="0.2">
      <c r="A247" s="73" t="s">
        <v>460</v>
      </c>
      <c r="B247" s="40"/>
      <c r="C247" s="40">
        <f>'P&amp;L FINAL FY22'!B286</f>
        <v>2399.8200000000002</v>
      </c>
      <c r="D247" s="38"/>
      <c r="E247" s="70"/>
      <c r="F247" s="71"/>
    </row>
    <row r="248" spans="1:12" s="39" customFormat="1" x14ac:dyDescent="0.2">
      <c r="A248" s="41" t="s">
        <v>174</v>
      </c>
      <c r="B248" s="50">
        <f>SUM(B97:B247)</f>
        <v>1639000</v>
      </c>
      <c r="C248" s="50">
        <f>SUM(C97:C247)</f>
        <v>2157965.3999999994</v>
      </c>
      <c r="D248" s="60"/>
      <c r="E248" s="60"/>
    </row>
    <row r="249" spans="1:12" x14ac:dyDescent="0.2">
      <c r="A249" s="41" t="s">
        <v>175</v>
      </c>
      <c r="B249" s="50">
        <f>B93-B248</f>
        <v>500</v>
      </c>
      <c r="C249" s="50">
        <f>C93-C248</f>
        <v>187129.49000000069</v>
      </c>
      <c r="D249" s="60"/>
      <c r="E249" s="60"/>
      <c r="F249" s="39"/>
      <c r="G249" s="39"/>
      <c r="H249" s="39"/>
      <c r="I249" s="39"/>
      <c r="J249" s="39"/>
      <c r="K249" s="39"/>
      <c r="L249" s="39"/>
    </row>
    <row r="250" spans="1:12" x14ac:dyDescent="0.2">
      <c r="B250" s="90"/>
      <c r="C250" s="90"/>
      <c r="D250" s="38"/>
      <c r="E250" s="38"/>
    </row>
    <row r="251" spans="1:12" x14ac:dyDescent="0.2">
      <c r="B251" s="38"/>
      <c r="C251" s="38"/>
      <c r="D251" s="38"/>
    </row>
    <row r="252" spans="1:12" x14ac:dyDescent="0.2">
      <c r="B252" s="38"/>
      <c r="C252" s="38"/>
      <c r="D252" s="38"/>
    </row>
    <row r="254" spans="1:12" x14ac:dyDescent="0.2">
      <c r="C254" s="38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CB6D-0AF5-D24D-A379-C502BD4ACA36}">
  <dimension ref="A1:F82"/>
  <sheetViews>
    <sheetView tabSelected="1" topLeftCell="A37" zoomScale="139" zoomScaleNormal="120" workbookViewId="0">
      <selection activeCell="B87" sqref="B87"/>
    </sheetView>
  </sheetViews>
  <sheetFormatPr baseColWidth="10" defaultRowHeight="16" x14ac:dyDescent="0.2"/>
  <cols>
    <col min="1" max="1" width="39.33203125" bestFit="1" customWidth="1"/>
    <col min="2" max="2" width="14.6640625" bestFit="1" customWidth="1"/>
    <col min="3" max="3" width="15" bestFit="1" customWidth="1"/>
  </cols>
  <sheetData>
    <row r="1" spans="1:3" ht="21" x14ac:dyDescent="0.25">
      <c r="A1" s="111" t="s">
        <v>636</v>
      </c>
    </row>
    <row r="2" spans="1:3" s="39" customFormat="1" x14ac:dyDescent="0.2">
      <c r="A2" s="41" t="s">
        <v>107</v>
      </c>
      <c r="B2" s="110" t="s">
        <v>4</v>
      </c>
      <c r="C2" s="110" t="s">
        <v>118</v>
      </c>
    </row>
    <row r="3" spans="1:3" x14ac:dyDescent="0.2">
      <c r="A3" s="37" t="s">
        <v>108</v>
      </c>
      <c r="B3" s="40">
        <f>'Approved Budget FY22'!E4</f>
        <v>235000</v>
      </c>
      <c r="C3" s="40">
        <f>'New Format Expanded'!C5+'New Format Expanded'!C6</f>
        <v>213555.69</v>
      </c>
    </row>
    <row r="4" spans="1:3" x14ac:dyDescent="0.2">
      <c r="A4" s="37" t="s">
        <v>125</v>
      </c>
      <c r="B4" s="40">
        <f>'Approved Budget FY22'!E5</f>
        <v>48000</v>
      </c>
      <c r="C4" s="40">
        <f>'New Format Expanded'!C8</f>
        <v>13130</v>
      </c>
    </row>
    <row r="5" spans="1:3" x14ac:dyDescent="0.2">
      <c r="A5" s="37" t="s">
        <v>109</v>
      </c>
      <c r="B5" s="40"/>
      <c r="C5" s="40"/>
    </row>
    <row r="6" spans="1:3" x14ac:dyDescent="0.2">
      <c r="A6" s="37" t="s">
        <v>120</v>
      </c>
      <c r="B6" s="40">
        <f>'Approved Budget FY22'!E23</f>
        <v>205000</v>
      </c>
      <c r="C6" s="40">
        <f>'New Format Expanded'!C11</f>
        <v>209794.83</v>
      </c>
    </row>
    <row r="7" spans="1:3" x14ac:dyDescent="0.2">
      <c r="A7" s="37" t="s">
        <v>121</v>
      </c>
      <c r="B7" s="40">
        <f>'Approved Budget FY22'!E30</f>
        <v>55000</v>
      </c>
      <c r="C7" s="40">
        <f>'New Format Expanded'!C13</f>
        <v>60000</v>
      </c>
    </row>
    <row r="8" spans="1:3" x14ac:dyDescent="0.2">
      <c r="A8" s="37" t="s">
        <v>110</v>
      </c>
      <c r="B8" s="40"/>
      <c r="C8" s="40"/>
    </row>
    <row r="9" spans="1:3" x14ac:dyDescent="0.2">
      <c r="A9" s="37" t="s">
        <v>122</v>
      </c>
      <c r="B9" s="40">
        <f>'Approved Budget FY22'!E22</f>
        <v>115000</v>
      </c>
      <c r="C9" s="40">
        <f>'New Format Expanded'!C16+'New Format Expanded'!C17</f>
        <v>120552</v>
      </c>
    </row>
    <row r="10" spans="1:3" x14ac:dyDescent="0.2">
      <c r="A10" s="109" t="s">
        <v>123</v>
      </c>
      <c r="B10" s="89">
        <f>'Approved Budget FY22'!E26</f>
        <v>12000</v>
      </c>
      <c r="C10" s="89">
        <f>'New Format Expanded'!C20</f>
        <v>20720.939999999999</v>
      </c>
    </row>
    <row r="11" spans="1:3" x14ac:dyDescent="0.2">
      <c r="A11" s="37" t="s">
        <v>124</v>
      </c>
      <c r="B11" s="40">
        <f>'Approved Budget FY22'!E24</f>
        <v>34000</v>
      </c>
      <c r="C11" s="40">
        <f>'New Format Expanded'!C22+'New Format Expanded'!C23</f>
        <v>34247.379999999997</v>
      </c>
    </row>
    <row r="12" spans="1:3" x14ac:dyDescent="0.2">
      <c r="A12" s="37" t="s">
        <v>111</v>
      </c>
      <c r="B12" s="40"/>
      <c r="C12" s="40"/>
    </row>
    <row r="13" spans="1:3" x14ac:dyDescent="0.2">
      <c r="A13" s="109" t="s">
        <v>126</v>
      </c>
      <c r="B13" s="89">
        <f>'Approved Budget FY22'!E29</f>
        <v>125000</v>
      </c>
      <c r="C13" s="89">
        <f>'New Format Expanded'!C26</f>
        <v>141893.4</v>
      </c>
    </row>
    <row r="14" spans="1:3" x14ac:dyDescent="0.2">
      <c r="A14" s="109" t="s">
        <v>127</v>
      </c>
      <c r="B14" s="89">
        <f>'Approved Budget FY22'!E35</f>
        <v>150000</v>
      </c>
      <c r="C14" s="89">
        <f>'New Format Expanded'!C28</f>
        <v>130400</v>
      </c>
    </row>
    <row r="15" spans="1:3" x14ac:dyDescent="0.2">
      <c r="A15" s="109" t="s">
        <v>128</v>
      </c>
      <c r="B15" s="89">
        <f>'Approved Budget FY22'!E36</f>
        <v>50000</v>
      </c>
      <c r="C15" s="89">
        <f>0</f>
        <v>0</v>
      </c>
    </row>
    <row r="16" spans="1:3" x14ac:dyDescent="0.2">
      <c r="A16" s="109" t="s">
        <v>129</v>
      </c>
      <c r="B16" s="89">
        <f>'Approved Budget FY22'!E38</f>
        <v>5000</v>
      </c>
      <c r="C16" s="89">
        <f>'New Format Expanded'!C37+'New Format Expanded'!C38</f>
        <v>457.83</v>
      </c>
    </row>
    <row r="17" spans="1:3" x14ac:dyDescent="0.2">
      <c r="A17" s="109" t="s">
        <v>130</v>
      </c>
      <c r="B17" s="89">
        <f>'Approved Budget FY22'!E8+'Approved Budget FY22'!E10+'Approved Budget FY22'!E12+'Approved Budget FY22'!E34</f>
        <v>113500</v>
      </c>
      <c r="C17" s="89">
        <f>'New Format Expanded'!C40+'New Format Expanded'!C41+'New Format Expanded'!C42+'New Format Expanded'!C43</f>
        <v>419030.28</v>
      </c>
    </row>
    <row r="18" spans="1:3" x14ac:dyDescent="0.2">
      <c r="A18" s="109" t="s">
        <v>628</v>
      </c>
      <c r="B18" s="89">
        <f>'Approved Budget FY22'!E37</f>
        <v>35000</v>
      </c>
      <c r="C18" s="89">
        <f>'New Format Expanded'!C45+'New Format Expanded'!C46+'New Format Expanded'!C47+'New Format Expanded'!C48+'New Format Expanded'!C49+'New Format Expanded'!C50+'New Format Expanded'!C51+'New Format Expanded'!C19</f>
        <v>67202.179999999993</v>
      </c>
    </row>
    <row r="19" spans="1:3" x14ac:dyDescent="0.2">
      <c r="A19" s="37" t="s">
        <v>131</v>
      </c>
      <c r="B19" s="40">
        <f>'Approved Budget FY22'!E19</f>
        <v>5000</v>
      </c>
      <c r="C19" s="40">
        <f>'New Format Expanded'!C53</f>
        <v>5190</v>
      </c>
    </row>
    <row r="20" spans="1:3" x14ac:dyDescent="0.2">
      <c r="A20" s="37" t="s">
        <v>132</v>
      </c>
      <c r="B20" s="40">
        <f>'Approved Budget FY22'!E17+'Approved Budget FY22'!E18</f>
        <v>110000</v>
      </c>
      <c r="C20" s="40">
        <f>'New Format Expanded'!C55+'New Format Expanded'!C56+'New Format Expanded'!C57+'New Format Expanded'!C58</f>
        <v>364473.99</v>
      </c>
    </row>
    <row r="21" spans="1:3" x14ac:dyDescent="0.2">
      <c r="A21" s="109" t="s">
        <v>629</v>
      </c>
      <c r="B21" s="40">
        <f>'Approved Budget FY22'!E13</f>
        <v>22500</v>
      </c>
      <c r="C21" s="89">
        <f>'New Format Expanded'!C60</f>
        <v>24303.7</v>
      </c>
    </row>
    <row r="22" spans="1:3" x14ac:dyDescent="0.2">
      <c r="A22" s="37" t="s">
        <v>112</v>
      </c>
      <c r="B22" s="40">
        <f>'Approved Budget FY22'!E32</f>
        <v>15000</v>
      </c>
      <c r="C22" s="40">
        <f>'New Format Expanded'!C62+'New Format Expanded'!C63+'New Format Expanded'!C64+'New Format Expanded'!C65+'New Format Expanded'!C66</f>
        <v>22340.010000000002</v>
      </c>
    </row>
    <row r="23" spans="1:3" x14ac:dyDescent="0.2">
      <c r="A23" s="37" t="s">
        <v>113</v>
      </c>
      <c r="B23" s="40">
        <f>'Approved Budget FY22'!E40</f>
        <v>15000</v>
      </c>
      <c r="C23" s="40">
        <f>'New Format Expanded'!C68+'New Format Expanded'!C69</f>
        <v>11204.630000000001</v>
      </c>
    </row>
    <row r="24" spans="1:3" x14ac:dyDescent="0.2">
      <c r="A24" s="37" t="s">
        <v>119</v>
      </c>
      <c r="B24" s="40">
        <f>'Approved Budget FY22'!E42+'Approved Budget FY22'!E43</f>
        <v>36000</v>
      </c>
      <c r="C24" s="40">
        <f>'New Format Expanded'!C71</f>
        <v>42465</v>
      </c>
    </row>
    <row r="25" spans="1:3" x14ac:dyDescent="0.2">
      <c r="A25" s="37" t="s">
        <v>114</v>
      </c>
      <c r="B25" s="40"/>
      <c r="C25" s="40"/>
    </row>
    <row r="26" spans="1:3" x14ac:dyDescent="0.2">
      <c r="A26" s="109" t="s">
        <v>133</v>
      </c>
      <c r="B26" s="89">
        <f>'Approved Budget FY22'!E31</f>
        <v>65000</v>
      </c>
      <c r="C26" s="89">
        <f>'New Format Expanded'!C74</f>
        <v>55918.96</v>
      </c>
    </row>
    <row r="27" spans="1:3" s="112" customFormat="1" x14ac:dyDescent="0.2">
      <c r="A27" s="109" t="s">
        <v>638</v>
      </c>
      <c r="B27" s="89">
        <f>'Approved Budget FY22'!E39</f>
        <v>50000</v>
      </c>
      <c r="C27" s="89">
        <v>0</v>
      </c>
    </row>
    <row r="28" spans="1:3" x14ac:dyDescent="0.2">
      <c r="A28" s="109" t="s">
        <v>134</v>
      </c>
      <c r="B28" s="89">
        <f>'Approved Budget FY22'!E7+'Approved Budget FY22'!E9+'Approved Budget FY22'!E11</f>
        <v>101000</v>
      </c>
      <c r="C28" s="89">
        <f>'New Format Expanded'!C76+'New Format Expanded'!C77+'New Format Expanded'!C78+'New Format Expanded'!C79+'New Format Expanded'!C80+'New Format Expanded'!C81+'New Format Expanded'!C82</f>
        <v>181826</v>
      </c>
    </row>
    <row r="29" spans="1:3" x14ac:dyDescent="0.2">
      <c r="A29" s="109" t="s">
        <v>135</v>
      </c>
      <c r="B29" s="89">
        <f>'Approved Budget FY22'!E25+'Approved Budget FY22'!E20+'Approved Budget FY22'!E14+'Approved Budget FY22'!E15</f>
        <v>37500</v>
      </c>
      <c r="C29" s="89">
        <f>'New Format Expanded'!C84+'New Format Expanded'!C85+'New Format Expanded'!C86+'New Format Expanded'!C87+'New Format Expanded'!C88+'New Format Expanded'!C89+'New Format Expanded'!C90+'New Format Expanded'!C30+'New Format Expanded'!C31+'New Format Expanded'!C32+'New Format Expanded'!C33+'New Format Expanded'!C34+'New Format Expanded'!C35</f>
        <v>87688.069999999992</v>
      </c>
    </row>
    <row r="30" spans="1:3" x14ac:dyDescent="0.2">
      <c r="A30" s="109" t="s">
        <v>627</v>
      </c>
      <c r="B30" s="89"/>
      <c r="C30" s="89">
        <f>'New Format Expanded'!C92</f>
        <v>118700</v>
      </c>
    </row>
    <row r="31" spans="1:3" s="39" customFormat="1" x14ac:dyDescent="0.2">
      <c r="A31" s="41" t="s">
        <v>173</v>
      </c>
      <c r="B31" s="50">
        <f>SUM(B3:B30)</f>
        <v>1639500</v>
      </c>
      <c r="C31" s="50">
        <f>SUM(C3:C30)</f>
        <v>2345094.8899999997</v>
      </c>
    </row>
    <row r="32" spans="1:3" s="39" customFormat="1" x14ac:dyDescent="0.2">
      <c r="A32" s="41"/>
      <c r="B32" s="50"/>
      <c r="C32" s="50"/>
    </row>
    <row r="33" spans="1:6" x14ac:dyDescent="0.2">
      <c r="A33" s="41" t="s">
        <v>115</v>
      </c>
      <c r="B33" s="110" t="s">
        <v>4</v>
      </c>
      <c r="C33" s="110" t="s">
        <v>118</v>
      </c>
    </row>
    <row r="34" spans="1:6" x14ac:dyDescent="0.2">
      <c r="A34" s="37" t="s">
        <v>116</v>
      </c>
      <c r="B34" s="40"/>
      <c r="C34" s="40"/>
    </row>
    <row r="35" spans="1:6" x14ac:dyDescent="0.2">
      <c r="A35" s="37" t="s">
        <v>136</v>
      </c>
      <c r="B35" s="40">
        <f>'Approved Budget FY22'!E48</f>
        <v>125000</v>
      </c>
      <c r="C35" s="40">
        <f>'New Format Expanded'!C99+'New Format Expanded'!C100+'New Format Expanded'!C101+'New Format Expanded'!C102+'New Format Expanded'!C103</f>
        <v>106747.75000000001</v>
      </c>
    </row>
    <row r="36" spans="1:6" x14ac:dyDescent="0.2">
      <c r="A36" s="37" t="s">
        <v>137</v>
      </c>
      <c r="B36" s="40">
        <f>'Approved Budget FY22'!E49</f>
        <v>5000</v>
      </c>
      <c r="C36" s="40">
        <f>'New Format Expanded'!C105</f>
        <v>945.91</v>
      </c>
    </row>
    <row r="37" spans="1:6" x14ac:dyDescent="0.2">
      <c r="A37" s="37" t="s">
        <v>138</v>
      </c>
      <c r="B37" s="40"/>
      <c r="C37" s="40"/>
    </row>
    <row r="38" spans="1:6" x14ac:dyDescent="0.2">
      <c r="A38" s="37" t="s">
        <v>139</v>
      </c>
      <c r="B38" s="40">
        <f>'Approved Budget FY22'!E72</f>
        <v>83000</v>
      </c>
      <c r="C38" s="40">
        <f>'New Format Expanded'!C108+'New Format Expanded'!C109+'New Format Expanded'!C110+'New Format Expanded'!C111+'New Format Expanded'!C112+'New Format Expanded'!C113+'New Format Expanded'!C114</f>
        <v>334930.21000000002</v>
      </c>
    </row>
    <row r="39" spans="1:6" x14ac:dyDescent="0.2">
      <c r="A39" s="37" t="s">
        <v>140</v>
      </c>
      <c r="B39" s="40">
        <f>'Approved Budget FY22'!E73</f>
        <v>10000</v>
      </c>
      <c r="C39" s="40">
        <f>'New Format Expanded'!C116</f>
        <v>5335</v>
      </c>
    </row>
    <row r="40" spans="1:6" x14ac:dyDescent="0.2">
      <c r="A40" s="37" t="s">
        <v>141</v>
      </c>
      <c r="B40" s="40">
        <f>'Approved Budget FY22'!E74</f>
        <v>5000</v>
      </c>
      <c r="C40" s="40">
        <f>'New Format Expanded'!C118+'New Format Expanded'!C119+'New Format Expanded'!C120+'New Format Expanded'!C121+'New Format Expanded'!C122+'New Format Expanded'!C123+'New Format Expanded'!C124+'New Format Expanded'!C125+'New Format Expanded'!C126</f>
        <v>11394.439999999999</v>
      </c>
    </row>
    <row r="41" spans="1:6" x14ac:dyDescent="0.2">
      <c r="A41" s="37" t="s">
        <v>142</v>
      </c>
      <c r="B41" s="40">
        <f>'Approved Budget FY22'!E75</f>
        <v>10000</v>
      </c>
      <c r="C41" s="40">
        <f>'New Format Expanded'!C128</f>
        <v>5190</v>
      </c>
    </row>
    <row r="42" spans="1:6" x14ac:dyDescent="0.2">
      <c r="A42" s="37" t="s">
        <v>143</v>
      </c>
      <c r="B42" s="40"/>
      <c r="C42" s="40"/>
    </row>
    <row r="43" spans="1:6" x14ac:dyDescent="0.2">
      <c r="A43" s="109" t="s">
        <v>144</v>
      </c>
      <c r="B43" s="89">
        <f>'Approved Budget FY22'!E67</f>
        <v>52500</v>
      </c>
      <c r="C43" s="89">
        <f>'New Format Expanded'!C131+'New Format Expanded'!C132+'New Format Expanded'!C133+'New Format Expanded'!C134+'New Format Expanded'!C135</f>
        <v>50465.4</v>
      </c>
      <c r="D43" s="93"/>
      <c r="E43" s="93"/>
      <c r="F43" s="93"/>
    </row>
    <row r="44" spans="1:6" x14ac:dyDescent="0.2">
      <c r="A44" s="109" t="s">
        <v>145</v>
      </c>
      <c r="B44" s="89">
        <f>'Approved Budget FY22'!E68</f>
        <v>35000</v>
      </c>
      <c r="C44" s="89">
        <f>'New Format Expanded'!C137+'New Format Expanded'!C138+'New Format Expanded'!C139+'New Format Expanded'!C140</f>
        <v>35285.51</v>
      </c>
      <c r="D44" s="93"/>
      <c r="E44" s="93"/>
      <c r="F44" s="93"/>
    </row>
    <row r="45" spans="1:6" x14ac:dyDescent="0.2">
      <c r="A45" s="109" t="s">
        <v>146</v>
      </c>
      <c r="B45" s="89">
        <f>'Approved Budget FY22'!E69</f>
        <v>15000</v>
      </c>
      <c r="C45" s="89">
        <f>'New Format Expanded'!C142</f>
        <v>12523.1</v>
      </c>
      <c r="D45" s="93"/>
      <c r="E45" s="93"/>
      <c r="F45" s="93"/>
    </row>
    <row r="46" spans="1:6" x14ac:dyDescent="0.2">
      <c r="A46" s="109" t="s">
        <v>147</v>
      </c>
      <c r="B46" s="89"/>
      <c r="C46" s="89"/>
      <c r="D46" s="93"/>
      <c r="E46" s="93"/>
      <c r="F46" s="93"/>
    </row>
    <row r="47" spans="1:6" x14ac:dyDescent="0.2">
      <c r="A47" s="109" t="s">
        <v>148</v>
      </c>
      <c r="B47" s="89">
        <f>'Approved Budget FY22'!E51+'Approved Budget FY22'!E52</f>
        <v>67500</v>
      </c>
      <c r="C47" s="89">
        <f>'New Format Expanded'!C145+'New Format Expanded'!C146</f>
        <v>126167</v>
      </c>
      <c r="D47" s="93"/>
      <c r="E47" s="93"/>
      <c r="F47" s="93"/>
    </row>
    <row r="48" spans="1:6" x14ac:dyDescent="0.2">
      <c r="A48" s="109" t="s">
        <v>149</v>
      </c>
      <c r="B48" s="89">
        <f>'Approved Budget FY22'!E53+'Approved Budget FY22'!E54</f>
        <v>130000</v>
      </c>
      <c r="C48" s="89">
        <f>'New Format Expanded'!C149+'New Format Expanded'!C150+'New Format Expanded'!C151+'New Format Expanded'!C152+'New Format Expanded'!C153</f>
        <v>37039</v>
      </c>
      <c r="D48" s="93"/>
      <c r="E48" s="93"/>
      <c r="F48" s="93"/>
    </row>
    <row r="49" spans="1:6" x14ac:dyDescent="0.2">
      <c r="A49" s="109" t="s">
        <v>150</v>
      </c>
      <c r="B49" s="89">
        <f>'Approved Budget FY22'!E55+'Approved Budget FY22'!E56</f>
        <v>16000</v>
      </c>
      <c r="C49" s="89">
        <f>'New Format Expanded'!C155+'New Format Expanded'!C156+'New Format Expanded'!C157</f>
        <v>49995.95</v>
      </c>
      <c r="D49" s="93"/>
      <c r="E49" s="93"/>
      <c r="F49" s="93"/>
    </row>
    <row r="50" spans="1:6" x14ac:dyDescent="0.2">
      <c r="A50" s="109" t="s">
        <v>151</v>
      </c>
      <c r="B50" s="89">
        <f>'Approved Budget FY22'!E57+'Approved Budget FY22'!E58</f>
        <v>22500</v>
      </c>
      <c r="C50" s="89">
        <f>'New Format Expanded'!C159</f>
        <v>24303.7</v>
      </c>
      <c r="D50" s="93"/>
      <c r="E50" s="93"/>
      <c r="F50" s="93"/>
    </row>
    <row r="51" spans="1:6" x14ac:dyDescent="0.2">
      <c r="A51" s="109" t="s">
        <v>152</v>
      </c>
      <c r="B51" s="89">
        <f>'Approved Budget FY22'!E65</f>
        <v>50000</v>
      </c>
      <c r="C51" s="89">
        <f>'New Format Expanded'!C161+'New Format Expanded'!C162+'New Format Expanded'!C163+'New Format Expanded'!C164+'New Format Expanded'!C165+'New Format Expanded'!C166+'New Format Expanded'!C167</f>
        <v>22072</v>
      </c>
      <c r="D51" s="93"/>
      <c r="E51" s="93"/>
      <c r="F51" s="93"/>
    </row>
    <row r="52" spans="1:6" x14ac:dyDescent="0.2">
      <c r="A52" s="109" t="s">
        <v>153</v>
      </c>
      <c r="B52" s="89">
        <f>'Approved Budget FY22'!E77+'Approved Budget FY22'!E76</f>
        <v>151000</v>
      </c>
      <c r="C52" s="89">
        <f>'New Format Expanded'!C169+'New Format Expanded'!C170+'New Format Expanded'!C171+'New Format Expanded'!C172+'New Format Expanded'!C147</f>
        <v>549430.28</v>
      </c>
      <c r="D52" s="93"/>
      <c r="E52" s="93"/>
      <c r="F52" s="93"/>
    </row>
    <row r="53" spans="1:6" x14ac:dyDescent="0.2">
      <c r="A53" s="109" t="s">
        <v>630</v>
      </c>
      <c r="B53" s="89">
        <f>'Approved Budget FY22'!E64</f>
        <v>20000</v>
      </c>
      <c r="C53" s="89">
        <f>'New Format Expanded'!C174+'New Format Expanded'!C175+'New Format Expanded'!C176</f>
        <v>17371.91</v>
      </c>
      <c r="D53" s="93"/>
      <c r="E53" s="93"/>
      <c r="F53" s="93"/>
    </row>
    <row r="54" spans="1:6" x14ac:dyDescent="0.2">
      <c r="A54" s="109" t="s">
        <v>154</v>
      </c>
      <c r="B54" s="89"/>
      <c r="C54" s="89"/>
      <c r="D54" s="93"/>
      <c r="E54" s="93"/>
      <c r="F54" s="93"/>
    </row>
    <row r="55" spans="1:6" x14ac:dyDescent="0.2">
      <c r="A55" s="109" t="s">
        <v>155</v>
      </c>
      <c r="B55" s="89">
        <f>'Approved Budget FY22'!E59</f>
        <v>15000</v>
      </c>
      <c r="C55" s="89">
        <f>'New Format Expanded'!C179</f>
        <v>9967.73</v>
      </c>
      <c r="D55" s="93"/>
      <c r="E55" s="93"/>
      <c r="F55" s="93"/>
    </row>
    <row r="56" spans="1:6" x14ac:dyDescent="0.2">
      <c r="A56" s="37" t="s">
        <v>156</v>
      </c>
      <c r="B56" s="40">
        <f>'Approved Budget FY22'!E60</f>
        <v>3000</v>
      </c>
      <c r="C56" s="40">
        <f>'New Format Expanded'!C181+'New Format Expanded'!C182</f>
        <v>6400.99</v>
      </c>
    </row>
    <row r="57" spans="1:6" x14ac:dyDescent="0.2">
      <c r="A57" s="37" t="s">
        <v>157</v>
      </c>
      <c r="B57" s="40">
        <f>'Approved Budget FY22'!E61</f>
        <v>2000</v>
      </c>
      <c r="C57" s="40">
        <f>'New Format Expanded'!C184</f>
        <v>423.75</v>
      </c>
    </row>
    <row r="58" spans="1:6" x14ac:dyDescent="0.2">
      <c r="A58" s="37" t="s">
        <v>158</v>
      </c>
      <c r="B58" s="40">
        <f>'Approved Budget FY22'!E62</f>
        <v>3000</v>
      </c>
      <c r="C58" s="40">
        <f>'New Format Expanded'!C186</f>
        <v>168.73</v>
      </c>
    </row>
    <row r="59" spans="1:6" x14ac:dyDescent="0.2">
      <c r="A59" s="37" t="s">
        <v>159</v>
      </c>
      <c r="B59" s="40">
        <f>'Approved Budget FY22'!E63</f>
        <v>15000</v>
      </c>
      <c r="C59" s="40">
        <f>'New Format Expanded'!C188+'New Format Expanded'!C189</f>
        <v>8733.86</v>
      </c>
    </row>
    <row r="60" spans="1:6" x14ac:dyDescent="0.2">
      <c r="A60" s="37" t="s">
        <v>117</v>
      </c>
      <c r="B60" s="40"/>
      <c r="C60" s="40"/>
    </row>
    <row r="61" spans="1:6" x14ac:dyDescent="0.2">
      <c r="A61" s="37" t="s">
        <v>160</v>
      </c>
      <c r="B61" s="40">
        <f>'Approved Budget FY22'!E79</f>
        <v>630500</v>
      </c>
      <c r="C61" s="40">
        <f>'New Format Expanded'!C191+'New Format Expanded'!C211+'New Format Expanded'!C212+'New Format Expanded'!C213+222.49</f>
        <v>579288.6</v>
      </c>
    </row>
    <row r="62" spans="1:6" x14ac:dyDescent="0.2">
      <c r="A62" s="37" t="s">
        <v>161</v>
      </c>
      <c r="B62" s="40">
        <f>'Approved Budget FY22'!E80</f>
        <v>15000</v>
      </c>
      <c r="C62" s="40">
        <f>'New Format Expanded'!C215</f>
        <v>16767.900000000001</v>
      </c>
    </row>
    <row r="63" spans="1:6" x14ac:dyDescent="0.2">
      <c r="A63" s="37" t="s">
        <v>162</v>
      </c>
      <c r="B63" s="40">
        <f>'Approved Budget FY22'!E81</f>
        <v>10000</v>
      </c>
      <c r="C63" s="40">
        <f>'New Format Expanded'!C217+'New Format Expanded'!C218+'New Format Expanded'!C219</f>
        <v>8843.5400000000009</v>
      </c>
    </row>
    <row r="64" spans="1:6" x14ac:dyDescent="0.2">
      <c r="A64" s="37" t="s">
        <v>163</v>
      </c>
      <c r="B64" s="40">
        <f>'Approved Budget FY22'!E82</f>
        <v>13000</v>
      </c>
      <c r="C64" s="40">
        <f>'New Format Expanded'!C221+'New Format Expanded'!C222+'New Format Expanded'!C223</f>
        <v>5037.03</v>
      </c>
    </row>
    <row r="65" spans="1:3" x14ac:dyDescent="0.2">
      <c r="A65" s="37" t="s">
        <v>164</v>
      </c>
      <c r="B65" s="40">
        <f>'Approved Budget FY22'!E83</f>
        <v>0</v>
      </c>
      <c r="C65" s="40">
        <f>'New Format Expanded'!C225</f>
        <v>16467.59</v>
      </c>
    </row>
    <row r="66" spans="1:3" x14ac:dyDescent="0.2">
      <c r="A66" s="37" t="s">
        <v>165</v>
      </c>
      <c r="B66" s="40">
        <f>'Approved Budget FY22'!E84</f>
        <v>16000</v>
      </c>
      <c r="C66" s="40">
        <f>'New Format Expanded'!C227</f>
        <v>5423.92</v>
      </c>
    </row>
    <row r="67" spans="1:3" x14ac:dyDescent="0.2">
      <c r="A67" s="37" t="s">
        <v>166</v>
      </c>
      <c r="B67" s="40">
        <f>'Approved Budget FY22'!E85</f>
        <v>38000</v>
      </c>
      <c r="C67" s="40">
        <f>'New Format Expanded'!C229</f>
        <v>35115</v>
      </c>
    </row>
    <row r="68" spans="1:3" x14ac:dyDescent="0.2">
      <c r="A68" s="37" t="s">
        <v>167</v>
      </c>
      <c r="B68" s="40">
        <f>'Approved Budget FY22'!E86</f>
        <v>10000</v>
      </c>
      <c r="C68" s="40">
        <f>'New Format Expanded'!C231</f>
        <v>11273.36</v>
      </c>
    </row>
    <row r="69" spans="1:3" x14ac:dyDescent="0.2">
      <c r="A69" s="37" t="s">
        <v>168</v>
      </c>
      <c r="B69" s="40">
        <f>'Approved Budget FY22'!E87</f>
        <v>9000</v>
      </c>
      <c r="C69" s="40">
        <f>'New Format Expanded'!C233</f>
        <v>9668.34</v>
      </c>
    </row>
    <row r="70" spans="1:3" x14ac:dyDescent="0.2">
      <c r="A70" s="37" t="s">
        <v>169</v>
      </c>
      <c r="B70" s="40">
        <f>'Approved Budget FY22'!E88</f>
        <v>5000</v>
      </c>
      <c r="C70" s="40">
        <f>'New Format Expanded'!C235+'New Format Expanded'!C236</f>
        <v>1691.66</v>
      </c>
    </row>
    <row r="71" spans="1:3" x14ac:dyDescent="0.2">
      <c r="A71" s="37" t="s">
        <v>170</v>
      </c>
      <c r="B71" s="40">
        <f>'Approved Budget FY22'!E89</f>
        <v>7000</v>
      </c>
      <c r="C71" s="40">
        <f>'New Format Expanded'!C238</f>
        <v>2983.2</v>
      </c>
    </row>
    <row r="72" spans="1:3" x14ac:dyDescent="0.2">
      <c r="A72" s="37" t="s">
        <v>581</v>
      </c>
      <c r="B72" s="40">
        <f>'Approved Budget FY22'!E90</f>
        <v>6500</v>
      </c>
      <c r="C72" s="40">
        <f>'New Format Expanded'!C240</f>
        <v>910.38</v>
      </c>
    </row>
    <row r="73" spans="1:3" x14ac:dyDescent="0.2">
      <c r="A73" s="37" t="s">
        <v>171</v>
      </c>
      <c r="B73" s="40">
        <f>'Approved Budget FY22'!E91</f>
        <v>35000</v>
      </c>
      <c r="C73" s="40">
        <f>'New Format Expanded'!C242</f>
        <v>42465</v>
      </c>
    </row>
    <row r="74" spans="1:3" x14ac:dyDescent="0.2">
      <c r="A74" s="37" t="s">
        <v>172</v>
      </c>
      <c r="B74" s="40">
        <f>'Approved Budget FY22'!E92</f>
        <v>1000</v>
      </c>
      <c r="C74" s="40">
        <f>'New Format Expanded'!C244</f>
        <v>0</v>
      </c>
    </row>
    <row r="75" spans="1:3" x14ac:dyDescent="0.2">
      <c r="A75" s="37" t="s">
        <v>129</v>
      </c>
      <c r="B75" s="40">
        <f>'Approved Budget FY22'!E93</f>
        <v>7500</v>
      </c>
      <c r="C75" s="40">
        <f>'New Format Expanded'!C246+'New Format Expanded'!C247</f>
        <v>7360.15</v>
      </c>
    </row>
    <row r="76" spans="1:3" s="39" customFormat="1" x14ac:dyDescent="0.2">
      <c r="A76" s="41" t="s">
        <v>174</v>
      </c>
      <c r="B76" s="50">
        <f>SUM(B34:B75)</f>
        <v>1639000</v>
      </c>
      <c r="C76" s="50">
        <f>SUM(C34:C75)</f>
        <v>2158187.89</v>
      </c>
    </row>
    <row r="77" spans="1:3" s="39" customFormat="1" x14ac:dyDescent="0.2">
      <c r="A77" s="41" t="s">
        <v>175</v>
      </c>
      <c r="B77" s="50">
        <f>B31-B76</f>
        <v>500</v>
      </c>
      <c r="C77" s="50">
        <f>C31-C76</f>
        <v>186906.99999999953</v>
      </c>
    </row>
    <row r="78" spans="1:3" x14ac:dyDescent="0.2">
      <c r="A78" s="127" t="s">
        <v>637</v>
      </c>
      <c r="B78" s="40"/>
      <c r="C78" s="50">
        <f>C77-118700</f>
        <v>68206.999999999534</v>
      </c>
    </row>
    <row r="79" spans="1:3" x14ac:dyDescent="0.2">
      <c r="B79" s="38"/>
      <c r="C79" s="38"/>
    </row>
    <row r="80" spans="1:3" x14ac:dyDescent="0.2">
      <c r="B80" s="38"/>
      <c r="C80" s="38"/>
    </row>
    <row r="81" spans="2:3" x14ac:dyDescent="0.2">
      <c r="B81" s="38"/>
      <c r="C81" s="38"/>
    </row>
    <row r="82" spans="2:3" x14ac:dyDescent="0.2">
      <c r="C82" s="38"/>
    </row>
  </sheetData>
  <pageMargins left="0.7" right="0.7" top="0.75" bottom="0.5" header="0.3" footer="0.3"/>
  <pageSetup orientation="portrait" horizontalDpi="0" verticalDpi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Approved Budget FY22</vt:lpstr>
      <vt:lpstr>P&amp;L FINAL FY22</vt:lpstr>
      <vt:lpstr>New Format Expanded</vt:lpstr>
      <vt:lpstr>Summary for Bd Nov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ASOR ASOR</dc:creator>
  <cp:lastModifiedBy>Microsoft Office User</cp:lastModifiedBy>
  <cp:lastPrinted>2022-11-13T17:43:25Z</cp:lastPrinted>
  <dcterms:created xsi:type="dcterms:W3CDTF">2022-10-28T20:44:08Z</dcterms:created>
  <dcterms:modified xsi:type="dcterms:W3CDTF">2022-11-13T17:45:41Z</dcterms:modified>
</cp:coreProperties>
</file>