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vaughn/ASOR Office DropBox Dropbox/Andy Vaughn/FY20 Files for Heather and Britta/"/>
    </mc:Choice>
  </mc:AlternateContent>
  <xr:revisionPtr revIDLastSave="0" documentId="13_ncr:1_{DBB7278E-D650-F24B-B447-468615926097}" xr6:coauthVersionLast="36" xr6:coauthVersionMax="36" xr10:uidLastSave="{00000000-0000-0000-0000-000000000000}"/>
  <bookViews>
    <workbookView xWindow="0" yWindow="460" windowWidth="28420" windowHeight="14260" activeTab="6" xr2:uid="{3ACDBFD9-45F7-4445-B76E-5297ECB47F7F}"/>
  </bookViews>
  <sheets>
    <sheet name="Sept 30 2019" sheetId="2" r:id="rId1"/>
    <sheet name="Dec 31 2019" sheetId="5" r:id="rId2"/>
    <sheet name="Mar 31 2020" sheetId="7" r:id="rId3"/>
    <sheet name="Apr 30 2020" sheetId="10" r:id="rId4"/>
    <sheet name="Dec 31 printable" sheetId="8" r:id="rId5"/>
    <sheet name="Mar 31 printable" sheetId="9" r:id="rId6"/>
    <sheet name="Apr 30 printable" sheetId="11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7" l="1"/>
  <c r="K59" i="5" l="1"/>
  <c r="H54" i="10" l="1"/>
  <c r="I19" i="11"/>
  <c r="K28" i="10"/>
  <c r="F39" i="11" l="1"/>
  <c r="F35" i="11"/>
  <c r="F30" i="11"/>
  <c r="F31" i="11" s="1"/>
  <c r="H51" i="10"/>
  <c r="H45" i="10"/>
  <c r="H42" i="10"/>
  <c r="K30" i="10"/>
  <c r="F24" i="11"/>
  <c r="J24" i="11" s="1"/>
  <c r="K24" i="11" s="1"/>
  <c r="F23" i="11"/>
  <c r="G23" i="11" s="1"/>
  <c r="J23" i="11" s="1"/>
  <c r="K23" i="11" s="1"/>
  <c r="F19" i="11"/>
  <c r="G19" i="11" s="1"/>
  <c r="J19" i="11" s="1"/>
  <c r="F15" i="11"/>
  <c r="F14" i="11"/>
  <c r="G14" i="11" s="1"/>
  <c r="F13" i="11"/>
  <c r="G13" i="11" s="1"/>
  <c r="F12" i="11"/>
  <c r="G12" i="11" s="1"/>
  <c r="F10" i="11"/>
  <c r="G10" i="11" s="1"/>
  <c r="F11" i="11"/>
  <c r="G11" i="11" s="1"/>
  <c r="F9" i="11"/>
  <c r="G9" i="11" s="1"/>
  <c r="F7" i="11"/>
  <c r="F8" i="11" s="1"/>
  <c r="G8" i="11" s="1"/>
  <c r="H15" i="11"/>
  <c r="J23" i="10"/>
  <c r="H11" i="11"/>
  <c r="J15" i="10"/>
  <c r="F4" i="11"/>
  <c r="G4" i="11" s="1"/>
  <c r="F46" i="11"/>
  <c r="E46" i="11"/>
  <c r="F37" i="11"/>
  <c r="F41" i="11" s="1"/>
  <c r="E37" i="11"/>
  <c r="E41" i="11" s="1"/>
  <c r="F33" i="11"/>
  <c r="E33" i="11"/>
  <c r="G22" i="11"/>
  <c r="I21" i="11"/>
  <c r="H21" i="11"/>
  <c r="E21" i="11"/>
  <c r="C21" i="11"/>
  <c r="G20" i="11"/>
  <c r="J20" i="11" s="1"/>
  <c r="C16" i="11"/>
  <c r="I15" i="11"/>
  <c r="G15" i="11"/>
  <c r="I14" i="11"/>
  <c r="H14" i="11"/>
  <c r="I13" i="11"/>
  <c r="I12" i="11"/>
  <c r="I11" i="11"/>
  <c r="I10" i="11"/>
  <c r="H10" i="11"/>
  <c r="I9" i="11"/>
  <c r="H8" i="11"/>
  <c r="H16" i="11" s="1"/>
  <c r="H26" i="11" s="1"/>
  <c r="E8" i="11"/>
  <c r="I7" i="11"/>
  <c r="I8" i="11" s="1"/>
  <c r="G6" i="11"/>
  <c r="J6" i="11" s="1"/>
  <c r="H5" i="11"/>
  <c r="E5" i="11"/>
  <c r="I4" i="11"/>
  <c r="I5" i="11" s="1"/>
  <c r="I16" i="11" s="1"/>
  <c r="J3" i="11"/>
  <c r="I63" i="10"/>
  <c r="L63" i="10" s="1"/>
  <c r="M63" i="10" s="1"/>
  <c r="H59" i="10"/>
  <c r="G59" i="10"/>
  <c r="D46" i="10"/>
  <c r="D49" i="10" s="1"/>
  <c r="H49" i="10"/>
  <c r="G45" i="10"/>
  <c r="G49" i="10" s="1"/>
  <c r="G54" i="10" s="1"/>
  <c r="F45" i="10"/>
  <c r="F49" i="10" s="1"/>
  <c r="F54" i="10" s="1"/>
  <c r="D39" i="10"/>
  <c r="D42" i="10" s="1"/>
  <c r="L34" i="10"/>
  <c r="M34" i="10" s="1"/>
  <c r="I33" i="10"/>
  <c r="L33" i="10" s="1"/>
  <c r="M33" i="10" s="1"/>
  <c r="F33" i="10"/>
  <c r="I32" i="10"/>
  <c r="I31" i="10"/>
  <c r="J30" i="10"/>
  <c r="H30" i="10"/>
  <c r="I30" i="10" s="1"/>
  <c r="G30" i="10"/>
  <c r="D30" i="10"/>
  <c r="C30" i="10"/>
  <c r="I29" i="10"/>
  <c r="L29" i="10" s="1"/>
  <c r="F29" i="10"/>
  <c r="I28" i="10"/>
  <c r="F28" i="10"/>
  <c r="C25" i="10"/>
  <c r="K23" i="10"/>
  <c r="I23" i="10"/>
  <c r="K21" i="10"/>
  <c r="J21" i="10"/>
  <c r="I21" i="10"/>
  <c r="K19" i="10"/>
  <c r="I19" i="10"/>
  <c r="F19" i="10"/>
  <c r="K17" i="10"/>
  <c r="I17" i="10"/>
  <c r="K15" i="10"/>
  <c r="I15" i="10"/>
  <c r="L15" i="10" s="1"/>
  <c r="M15" i="10" s="1"/>
  <c r="F15" i="10"/>
  <c r="K13" i="10"/>
  <c r="J13" i="10"/>
  <c r="I13" i="10"/>
  <c r="F13" i="10"/>
  <c r="K11" i="10"/>
  <c r="I11" i="10"/>
  <c r="F11" i="10"/>
  <c r="I10" i="10"/>
  <c r="J9" i="10"/>
  <c r="H9" i="10"/>
  <c r="G9" i="10"/>
  <c r="D9" i="10"/>
  <c r="K8" i="10"/>
  <c r="K9" i="10" s="1"/>
  <c r="I8" i="10"/>
  <c r="F8" i="10"/>
  <c r="I7" i="10"/>
  <c r="L7" i="10" s="1"/>
  <c r="F7" i="10"/>
  <c r="I6" i="10"/>
  <c r="J5" i="10"/>
  <c r="H5" i="10"/>
  <c r="G5" i="10"/>
  <c r="D5" i="10"/>
  <c r="K4" i="10"/>
  <c r="K5" i="10" s="1"/>
  <c r="I4" i="10"/>
  <c r="F4" i="10"/>
  <c r="L3" i="10"/>
  <c r="F3" i="10"/>
  <c r="J10" i="11" l="1"/>
  <c r="K10" i="11" s="1"/>
  <c r="J12" i="11"/>
  <c r="K12" i="11" s="1"/>
  <c r="J13" i="11"/>
  <c r="K13" i="11" s="1"/>
  <c r="J4" i="11"/>
  <c r="K4" i="11" s="1"/>
  <c r="J15" i="11"/>
  <c r="K15" i="11" s="1"/>
  <c r="J9" i="11"/>
  <c r="K9" i="11" s="1"/>
  <c r="E16" i="11"/>
  <c r="E26" i="11" s="1"/>
  <c r="E48" i="11" s="1"/>
  <c r="C26" i="11"/>
  <c r="C48" i="11" s="1"/>
  <c r="J11" i="11"/>
  <c r="K11" i="11" s="1"/>
  <c r="J14" i="11"/>
  <c r="K14" i="11" s="1"/>
  <c r="I26" i="11"/>
  <c r="L28" i="10"/>
  <c r="L30" i="10" s="1"/>
  <c r="M30" i="10" s="1"/>
  <c r="L21" i="10"/>
  <c r="M21" i="10" s="1"/>
  <c r="F30" i="10"/>
  <c r="G7" i="11"/>
  <c r="J7" i="11" s="1"/>
  <c r="K7" i="11" s="1"/>
  <c r="G25" i="10"/>
  <c r="G36" i="10" s="1"/>
  <c r="G61" i="10" s="1"/>
  <c r="L13" i="10"/>
  <c r="M13" i="10" s="1"/>
  <c r="C36" i="10"/>
  <c r="C61" i="10" s="1"/>
  <c r="D25" i="10"/>
  <c r="D36" i="10" s="1"/>
  <c r="L8" i="10"/>
  <c r="L11" i="10"/>
  <c r="M11" i="10" s="1"/>
  <c r="F9" i="10"/>
  <c r="L4" i="10"/>
  <c r="M4" i="10" s="1"/>
  <c r="H25" i="10"/>
  <c r="I25" i="10" s="1"/>
  <c r="I36" i="10" s="1"/>
  <c r="L19" i="10"/>
  <c r="M19" i="10" s="1"/>
  <c r="I9" i="10"/>
  <c r="F5" i="10"/>
  <c r="K25" i="10"/>
  <c r="K36" i="10" s="1"/>
  <c r="J25" i="10"/>
  <c r="J36" i="10" s="1"/>
  <c r="L17" i="10"/>
  <c r="M17" i="10" s="1"/>
  <c r="L23" i="10"/>
  <c r="M23" i="10" s="1"/>
  <c r="L9" i="10"/>
  <c r="M9" i="10" s="1"/>
  <c r="M8" i="10"/>
  <c r="D61" i="10"/>
  <c r="F21" i="11"/>
  <c r="G21" i="11" s="1"/>
  <c r="J5" i="11"/>
  <c r="K5" i="11" s="1"/>
  <c r="F5" i="11"/>
  <c r="I5" i="10"/>
  <c r="K19" i="11"/>
  <c r="J21" i="11"/>
  <c r="K21" i="11" s="1"/>
  <c r="F25" i="10"/>
  <c r="F36" i="10" s="1"/>
  <c r="F61" i="10" s="1"/>
  <c r="H36" i="10"/>
  <c r="H61" i="10" s="1"/>
  <c r="M28" i="10"/>
  <c r="F45" i="9"/>
  <c r="E45" i="9"/>
  <c r="F33" i="9"/>
  <c r="F37" i="9" s="1"/>
  <c r="F40" i="9" s="1"/>
  <c r="E33" i="9"/>
  <c r="E37" i="9" s="1"/>
  <c r="E40" i="9" s="1"/>
  <c r="J25" i="9"/>
  <c r="K25" i="9" s="1"/>
  <c r="G24" i="9"/>
  <c r="J24" i="9" s="1"/>
  <c r="K24" i="9" s="1"/>
  <c r="G23" i="9"/>
  <c r="G22" i="9"/>
  <c r="H21" i="9"/>
  <c r="F21" i="9"/>
  <c r="E21" i="9"/>
  <c r="C21" i="9"/>
  <c r="G20" i="9"/>
  <c r="J20" i="9" s="1"/>
  <c r="I19" i="9"/>
  <c r="I21" i="9" s="1"/>
  <c r="G19" i="9"/>
  <c r="C16" i="9"/>
  <c r="C27" i="9" s="1"/>
  <c r="C47" i="9" s="1"/>
  <c r="I15" i="9"/>
  <c r="H15" i="9"/>
  <c r="G15" i="9"/>
  <c r="I14" i="9"/>
  <c r="H14" i="9"/>
  <c r="G14" i="9"/>
  <c r="I13" i="9"/>
  <c r="G13" i="9"/>
  <c r="J13" i="9" s="1"/>
  <c r="K13" i="9" s="1"/>
  <c r="I12" i="9"/>
  <c r="G12" i="9"/>
  <c r="I11" i="9"/>
  <c r="H11" i="9"/>
  <c r="G11" i="9"/>
  <c r="I10" i="9"/>
  <c r="H10" i="9"/>
  <c r="G10" i="9"/>
  <c r="I9" i="9"/>
  <c r="G9" i="9"/>
  <c r="H8" i="9"/>
  <c r="F8" i="9"/>
  <c r="E8" i="9"/>
  <c r="I7" i="9"/>
  <c r="I8" i="9" s="1"/>
  <c r="G7" i="9"/>
  <c r="G6" i="9"/>
  <c r="J6" i="9" s="1"/>
  <c r="H5" i="9"/>
  <c r="F5" i="9"/>
  <c r="E5" i="9"/>
  <c r="I4" i="9"/>
  <c r="I5" i="9" s="1"/>
  <c r="G4" i="9"/>
  <c r="J3" i="9"/>
  <c r="F16" i="11" l="1"/>
  <c r="G16" i="11" s="1"/>
  <c r="G26" i="11" s="1"/>
  <c r="J8" i="11"/>
  <c r="K8" i="11" s="1"/>
  <c r="L5" i="10"/>
  <c r="M5" i="10" s="1"/>
  <c r="G5" i="11"/>
  <c r="J9" i="9"/>
  <c r="K9" i="9" s="1"/>
  <c r="J12" i="9"/>
  <c r="K12" i="9" s="1"/>
  <c r="F16" i="9"/>
  <c r="F27" i="9" s="1"/>
  <c r="F47" i="9" s="1"/>
  <c r="J4" i="9"/>
  <c r="K4" i="9" s="1"/>
  <c r="G5" i="9"/>
  <c r="I16" i="9"/>
  <c r="I27" i="9" s="1"/>
  <c r="H16" i="9"/>
  <c r="H27" i="9" s="1"/>
  <c r="J7" i="9"/>
  <c r="K7" i="9" s="1"/>
  <c r="J10" i="9"/>
  <c r="K10" i="9" s="1"/>
  <c r="E16" i="9"/>
  <c r="E27" i="9" s="1"/>
  <c r="E47" i="9" s="1"/>
  <c r="J14" i="9"/>
  <c r="K14" i="9" s="1"/>
  <c r="G8" i="9"/>
  <c r="J11" i="9"/>
  <c r="K11" i="9" s="1"/>
  <c r="J15" i="9"/>
  <c r="K15" i="9" s="1"/>
  <c r="G21" i="9"/>
  <c r="J5" i="9"/>
  <c r="J19" i="9"/>
  <c r="F45" i="8"/>
  <c r="E45" i="8"/>
  <c r="F33" i="8"/>
  <c r="F37" i="8" s="1"/>
  <c r="F40" i="8" s="1"/>
  <c r="E33" i="8"/>
  <c r="E37" i="8" s="1"/>
  <c r="E40" i="8" s="1"/>
  <c r="J24" i="8"/>
  <c r="K24" i="8" s="1"/>
  <c r="G23" i="8"/>
  <c r="J23" i="8" s="1"/>
  <c r="K23" i="8" s="1"/>
  <c r="G22" i="8"/>
  <c r="H21" i="8"/>
  <c r="F21" i="8"/>
  <c r="E21" i="8"/>
  <c r="C21" i="8"/>
  <c r="G20" i="8"/>
  <c r="J20" i="8" s="1"/>
  <c r="I19" i="8"/>
  <c r="I21" i="8" s="1"/>
  <c r="G19" i="8"/>
  <c r="C16" i="8"/>
  <c r="C26" i="8" s="1"/>
  <c r="C47" i="8" s="1"/>
  <c r="I15" i="8"/>
  <c r="H15" i="8"/>
  <c r="G15" i="8"/>
  <c r="I14" i="8"/>
  <c r="H14" i="8"/>
  <c r="G14" i="8"/>
  <c r="I13" i="8"/>
  <c r="G13" i="8"/>
  <c r="I12" i="8"/>
  <c r="G12" i="8"/>
  <c r="I11" i="8"/>
  <c r="H11" i="8"/>
  <c r="G11" i="8"/>
  <c r="I10" i="8"/>
  <c r="H10" i="8"/>
  <c r="G10" i="8"/>
  <c r="I9" i="8"/>
  <c r="G9" i="8"/>
  <c r="H8" i="8"/>
  <c r="F8" i="8"/>
  <c r="E8" i="8"/>
  <c r="I7" i="8"/>
  <c r="I8" i="8" s="1"/>
  <c r="G7" i="8"/>
  <c r="J7" i="8" s="1"/>
  <c r="K7" i="8" s="1"/>
  <c r="G6" i="8"/>
  <c r="J6" i="8" s="1"/>
  <c r="H5" i="8"/>
  <c r="F5" i="8"/>
  <c r="E5" i="8"/>
  <c r="I4" i="8"/>
  <c r="I5" i="8" s="1"/>
  <c r="G4" i="8"/>
  <c r="J3" i="8"/>
  <c r="J16" i="11" l="1"/>
  <c r="J26" i="11" s="1"/>
  <c r="K26" i="11" s="1"/>
  <c r="F26" i="11"/>
  <c r="F48" i="11" s="1"/>
  <c r="L25" i="10"/>
  <c r="L36" i="10"/>
  <c r="M36" i="10" s="1"/>
  <c r="M25" i="10"/>
  <c r="G16" i="9"/>
  <c r="G27" i="9" s="1"/>
  <c r="J8" i="9"/>
  <c r="K8" i="9" s="1"/>
  <c r="J21" i="9"/>
  <c r="K21" i="9" s="1"/>
  <c r="K19" i="9"/>
  <c r="K5" i="9"/>
  <c r="J15" i="8"/>
  <c r="K15" i="8" s="1"/>
  <c r="J4" i="8"/>
  <c r="K4" i="8" s="1"/>
  <c r="G8" i="8"/>
  <c r="I16" i="8"/>
  <c r="I26" i="8" s="1"/>
  <c r="H16" i="8"/>
  <c r="H26" i="8" s="1"/>
  <c r="J5" i="8"/>
  <c r="K5" i="8" s="1"/>
  <c r="J10" i="8"/>
  <c r="K10" i="8" s="1"/>
  <c r="J12" i="8"/>
  <c r="K12" i="8" s="1"/>
  <c r="J14" i="8"/>
  <c r="K14" i="8" s="1"/>
  <c r="G21" i="8"/>
  <c r="E16" i="8"/>
  <c r="E26" i="8" s="1"/>
  <c r="E47" i="8" s="1"/>
  <c r="G5" i="8"/>
  <c r="J9" i="8"/>
  <c r="K9" i="8" s="1"/>
  <c r="J11" i="8"/>
  <c r="K11" i="8" s="1"/>
  <c r="J13" i="8"/>
  <c r="K13" i="8" s="1"/>
  <c r="J19" i="8"/>
  <c r="J21" i="8" s="1"/>
  <c r="K21" i="8" s="1"/>
  <c r="J8" i="8"/>
  <c r="K8" i="8" s="1"/>
  <c r="F16" i="8"/>
  <c r="L34" i="7"/>
  <c r="M34" i="7" s="1"/>
  <c r="H43" i="7"/>
  <c r="H47" i="7"/>
  <c r="H50" i="7" s="1"/>
  <c r="I59" i="7"/>
  <c r="L59" i="7" s="1"/>
  <c r="M59" i="7" s="1"/>
  <c r="H55" i="7"/>
  <c r="G55" i="7"/>
  <c r="F47" i="7"/>
  <c r="F50" i="7" s="1"/>
  <c r="D44" i="7"/>
  <c r="D47" i="7" s="1"/>
  <c r="G43" i="7"/>
  <c r="G47" i="7" s="1"/>
  <c r="G50" i="7" s="1"/>
  <c r="F43" i="7"/>
  <c r="D39" i="7"/>
  <c r="D41" i="7" s="1"/>
  <c r="I33" i="7"/>
  <c r="L33" i="7" s="1"/>
  <c r="M33" i="7" s="1"/>
  <c r="F33" i="7"/>
  <c r="I32" i="7"/>
  <c r="I31" i="7"/>
  <c r="J30" i="7"/>
  <c r="H30" i="7"/>
  <c r="I30" i="7" s="1"/>
  <c r="G30" i="7"/>
  <c r="D30" i="7"/>
  <c r="C30" i="7"/>
  <c r="I29" i="7"/>
  <c r="L29" i="7" s="1"/>
  <c r="F29" i="7"/>
  <c r="F30" i="7" s="1"/>
  <c r="K28" i="7"/>
  <c r="K30" i="7" s="1"/>
  <c r="I28" i="7"/>
  <c r="L28" i="7" s="1"/>
  <c r="F28" i="7"/>
  <c r="C25" i="7"/>
  <c r="K23" i="7"/>
  <c r="J23" i="7"/>
  <c r="I23" i="7"/>
  <c r="K21" i="7"/>
  <c r="J21" i="7"/>
  <c r="I21" i="7"/>
  <c r="L21" i="7" s="1"/>
  <c r="M21" i="7" s="1"/>
  <c r="K19" i="7"/>
  <c r="I19" i="7"/>
  <c r="L19" i="7" s="1"/>
  <c r="M19" i="7" s="1"/>
  <c r="F19" i="7"/>
  <c r="K17" i="7"/>
  <c r="I17" i="7"/>
  <c r="K15" i="7"/>
  <c r="J15" i="7"/>
  <c r="I15" i="7"/>
  <c r="F15" i="7"/>
  <c r="K13" i="7"/>
  <c r="J13" i="7"/>
  <c r="I13" i="7"/>
  <c r="L13" i="7" s="1"/>
  <c r="M13" i="7" s="1"/>
  <c r="F13" i="7"/>
  <c r="K11" i="7"/>
  <c r="I11" i="7"/>
  <c r="L11" i="7" s="1"/>
  <c r="M11" i="7" s="1"/>
  <c r="F11" i="7"/>
  <c r="I10" i="7"/>
  <c r="J9" i="7"/>
  <c r="H9" i="7"/>
  <c r="G9" i="7"/>
  <c r="D9" i="7"/>
  <c r="K8" i="7"/>
  <c r="K9" i="7" s="1"/>
  <c r="I8" i="7"/>
  <c r="L8" i="7" s="1"/>
  <c r="M8" i="7" s="1"/>
  <c r="F8" i="7"/>
  <c r="I7" i="7"/>
  <c r="L7" i="7" s="1"/>
  <c r="F7" i="7"/>
  <c r="F9" i="7" s="1"/>
  <c r="I6" i="7"/>
  <c r="J5" i="7"/>
  <c r="H5" i="7"/>
  <c r="G5" i="7"/>
  <c r="D5" i="7"/>
  <c r="D25" i="7" s="1"/>
  <c r="K4" i="7"/>
  <c r="K5" i="7" s="1"/>
  <c r="I4" i="7"/>
  <c r="L4" i="7" s="1"/>
  <c r="F4" i="7"/>
  <c r="L3" i="7"/>
  <c r="F3" i="7"/>
  <c r="K16" i="11" l="1"/>
  <c r="J16" i="9"/>
  <c r="J27" i="9" s="1"/>
  <c r="K27" i="9" s="1"/>
  <c r="K19" i="8"/>
  <c r="F26" i="8"/>
  <c r="F47" i="8" s="1"/>
  <c r="G16" i="8"/>
  <c r="G26" i="8" s="1"/>
  <c r="J16" i="8"/>
  <c r="D36" i="7"/>
  <c r="H25" i="7"/>
  <c r="H36" i="7" s="1"/>
  <c r="H57" i="7" s="1"/>
  <c r="C36" i="7"/>
  <c r="C57" i="7" s="1"/>
  <c r="F5" i="7"/>
  <c r="F25" i="7" s="1"/>
  <c r="F36" i="7" s="1"/>
  <c r="F57" i="7" s="1"/>
  <c r="K25" i="7"/>
  <c r="K36" i="7" s="1"/>
  <c r="J25" i="7"/>
  <c r="J36" i="7" s="1"/>
  <c r="G25" i="7"/>
  <c r="G36" i="7" s="1"/>
  <c r="G57" i="7" s="1"/>
  <c r="L23" i="7"/>
  <c r="M23" i="7" s="1"/>
  <c r="L17" i="7"/>
  <c r="M17" i="7" s="1"/>
  <c r="L15" i="7"/>
  <c r="M15" i="7" s="1"/>
  <c r="L9" i="7"/>
  <c r="M9" i="7" s="1"/>
  <c r="I25" i="7"/>
  <c r="I36" i="7" s="1"/>
  <c r="D57" i="7"/>
  <c r="M28" i="7"/>
  <c r="L30" i="7"/>
  <c r="M30" i="7" s="1"/>
  <c r="L5" i="7"/>
  <c r="M4" i="7"/>
  <c r="I9" i="7"/>
  <c r="I5" i="7"/>
  <c r="L25" i="5"/>
  <c r="J25" i="5"/>
  <c r="N23" i="5"/>
  <c r="K16" i="9" l="1"/>
  <c r="J26" i="8"/>
  <c r="K26" i="8" s="1"/>
  <c r="K16" i="8"/>
  <c r="L25" i="7"/>
  <c r="M5" i="7"/>
  <c r="H42" i="5"/>
  <c r="J23" i="5"/>
  <c r="J21" i="5"/>
  <c r="J13" i="5"/>
  <c r="I59" i="5"/>
  <c r="L59" i="5" s="1"/>
  <c r="M59" i="5" s="1"/>
  <c r="H54" i="5"/>
  <c r="G54" i="5"/>
  <c r="H46" i="5"/>
  <c r="H49" i="5" s="1"/>
  <c r="F46" i="5"/>
  <c r="F49" i="5" s="1"/>
  <c r="D43" i="5"/>
  <c r="D46" i="5" s="1"/>
  <c r="G42" i="5"/>
  <c r="G46" i="5" s="1"/>
  <c r="G49" i="5" s="1"/>
  <c r="F42" i="5"/>
  <c r="D38" i="5"/>
  <c r="D40" i="5" s="1"/>
  <c r="N35" i="5"/>
  <c r="N33" i="5"/>
  <c r="I33" i="5"/>
  <c r="L33" i="5" s="1"/>
  <c r="M33" i="5" s="1"/>
  <c r="F33" i="5"/>
  <c r="I32" i="5"/>
  <c r="I31" i="5"/>
  <c r="N30" i="5"/>
  <c r="J30" i="5"/>
  <c r="H30" i="5"/>
  <c r="I30" i="5" s="1"/>
  <c r="G30" i="5"/>
  <c r="D30" i="5"/>
  <c r="C30" i="5"/>
  <c r="I29" i="5"/>
  <c r="L29" i="5" s="1"/>
  <c r="F29" i="5"/>
  <c r="F30" i="5" s="1"/>
  <c r="N28" i="5"/>
  <c r="K28" i="5"/>
  <c r="K30" i="5" s="1"/>
  <c r="I28" i="5"/>
  <c r="L28" i="5" s="1"/>
  <c r="F28" i="5"/>
  <c r="I27" i="5"/>
  <c r="I26" i="5"/>
  <c r="N25" i="5"/>
  <c r="C25" i="5"/>
  <c r="C35" i="5" s="1"/>
  <c r="C57" i="5" s="1"/>
  <c r="K23" i="5"/>
  <c r="I23" i="5"/>
  <c r="N21" i="5"/>
  <c r="K21" i="5"/>
  <c r="I21" i="5"/>
  <c r="L21" i="5" s="1"/>
  <c r="M21" i="5" s="1"/>
  <c r="N19" i="5"/>
  <c r="K19" i="5"/>
  <c r="I19" i="5"/>
  <c r="F19" i="5"/>
  <c r="N17" i="5"/>
  <c r="K17" i="5"/>
  <c r="I17" i="5"/>
  <c r="L17" i="5" s="1"/>
  <c r="M17" i="5" s="1"/>
  <c r="N15" i="5"/>
  <c r="K15" i="5"/>
  <c r="J15" i="5"/>
  <c r="I15" i="5"/>
  <c r="F15" i="5"/>
  <c r="N13" i="5"/>
  <c r="K13" i="5"/>
  <c r="I13" i="5"/>
  <c r="L13" i="5" s="1"/>
  <c r="M13" i="5" s="1"/>
  <c r="F13" i="5"/>
  <c r="N11" i="5"/>
  <c r="K11" i="5"/>
  <c r="I11" i="5"/>
  <c r="F11" i="5"/>
  <c r="I10" i="5"/>
  <c r="N9" i="5"/>
  <c r="J9" i="5"/>
  <c r="J35" i="5" s="1"/>
  <c r="H9" i="5"/>
  <c r="I9" i="5" s="1"/>
  <c r="G9" i="5"/>
  <c r="G25" i="5" s="1"/>
  <c r="G35" i="5" s="1"/>
  <c r="F9" i="5"/>
  <c r="D9" i="5"/>
  <c r="K8" i="5"/>
  <c r="K9" i="5" s="1"/>
  <c r="I8" i="5"/>
  <c r="F8" i="5"/>
  <c r="I7" i="5"/>
  <c r="L7" i="5" s="1"/>
  <c r="F7" i="5"/>
  <c r="I6" i="5"/>
  <c r="N5" i="5"/>
  <c r="J5" i="5"/>
  <c r="H5" i="5"/>
  <c r="G5" i="5"/>
  <c r="D5" i="5"/>
  <c r="D25" i="5" s="1"/>
  <c r="K4" i="5"/>
  <c r="K5" i="5" s="1"/>
  <c r="K25" i="5" s="1"/>
  <c r="K35" i="5" s="1"/>
  <c r="I4" i="5"/>
  <c r="L4" i="5" s="1"/>
  <c r="M4" i="5" s="1"/>
  <c r="F4" i="5"/>
  <c r="L3" i="5"/>
  <c r="F3" i="5"/>
  <c r="F5" i="5" s="1"/>
  <c r="M25" i="7" l="1"/>
  <c r="L36" i="7"/>
  <c r="M36" i="7" s="1"/>
  <c r="L23" i="5"/>
  <c r="M23" i="5" s="1"/>
  <c r="L19" i="5"/>
  <c r="M19" i="5" s="1"/>
  <c r="L15" i="5"/>
  <c r="M15" i="5" s="1"/>
  <c r="L11" i="5"/>
  <c r="M11" i="5" s="1"/>
  <c r="H25" i="5"/>
  <c r="H35" i="5" s="1"/>
  <c r="H57" i="5" s="1"/>
  <c r="L5" i="5"/>
  <c r="M5" i="5" s="1"/>
  <c r="I5" i="5"/>
  <c r="D35" i="5"/>
  <c r="D57" i="5" s="1"/>
  <c r="G57" i="5"/>
  <c r="F25" i="5"/>
  <c r="F35" i="5" s="1"/>
  <c r="M28" i="5"/>
  <c r="L30" i="5"/>
  <c r="M30" i="5" s="1"/>
  <c r="L8" i="5"/>
  <c r="M8" i="5" s="1"/>
  <c r="F57" i="5"/>
  <c r="I25" i="5" l="1"/>
  <c r="I35" i="5" s="1"/>
  <c r="L9" i="5"/>
  <c r="H23" i="2"/>
  <c r="M9" i="5" l="1"/>
  <c r="M25" i="5" l="1"/>
  <c r="L35" i="5"/>
  <c r="M35" i="5" s="1"/>
  <c r="I57" i="2" l="1"/>
  <c r="L57" i="2" s="1"/>
  <c r="M57" i="2" s="1"/>
  <c r="H52" i="2"/>
  <c r="G52" i="2"/>
  <c r="D41" i="2"/>
  <c r="D44" i="2" s="1"/>
  <c r="H40" i="2"/>
  <c r="H44" i="2" s="1"/>
  <c r="H47" i="2" s="1"/>
  <c r="G40" i="2"/>
  <c r="G44" i="2" s="1"/>
  <c r="G47" i="2" s="1"/>
  <c r="F40" i="2"/>
  <c r="F44" i="2" s="1"/>
  <c r="D36" i="2"/>
  <c r="D38" i="2" s="1"/>
  <c r="N33" i="2"/>
  <c r="N31" i="2"/>
  <c r="I31" i="2"/>
  <c r="L31" i="2" s="1"/>
  <c r="M31" i="2" s="1"/>
  <c r="F31" i="2"/>
  <c r="I30" i="2"/>
  <c r="I29" i="2"/>
  <c r="N28" i="2"/>
  <c r="J28" i="2"/>
  <c r="H28" i="2"/>
  <c r="G28" i="2"/>
  <c r="D28" i="2"/>
  <c r="C28" i="2"/>
  <c r="I27" i="2"/>
  <c r="L27" i="2" s="1"/>
  <c r="F27" i="2"/>
  <c r="N26" i="2"/>
  <c r="K26" i="2"/>
  <c r="K28" i="2" s="1"/>
  <c r="I26" i="2"/>
  <c r="L26" i="2" s="1"/>
  <c r="F26" i="2"/>
  <c r="F28" i="2" s="1"/>
  <c r="I25" i="2"/>
  <c r="I24" i="2"/>
  <c r="N23" i="2"/>
  <c r="C23" i="2"/>
  <c r="N21" i="2"/>
  <c r="K21" i="2"/>
  <c r="I21" i="2"/>
  <c r="N19" i="2"/>
  <c r="K19" i="2"/>
  <c r="I19" i="2"/>
  <c r="F19" i="2"/>
  <c r="N17" i="2"/>
  <c r="K17" i="2"/>
  <c r="I17" i="2"/>
  <c r="N15" i="2"/>
  <c r="K15" i="2"/>
  <c r="I15" i="2"/>
  <c r="F15" i="2"/>
  <c r="N13" i="2"/>
  <c r="K13" i="2"/>
  <c r="I13" i="2"/>
  <c r="F13" i="2"/>
  <c r="N11" i="2"/>
  <c r="K11" i="2"/>
  <c r="I11" i="2"/>
  <c r="F11" i="2"/>
  <c r="I10" i="2"/>
  <c r="N9" i="2"/>
  <c r="J9" i="2"/>
  <c r="H9" i="2"/>
  <c r="G9" i="2"/>
  <c r="D9" i="2"/>
  <c r="K8" i="2"/>
  <c r="K9" i="2" s="1"/>
  <c r="I8" i="2"/>
  <c r="F8" i="2"/>
  <c r="I7" i="2"/>
  <c r="L7" i="2" s="1"/>
  <c r="F7" i="2"/>
  <c r="I6" i="2"/>
  <c r="N5" i="2"/>
  <c r="J5" i="2"/>
  <c r="H5" i="2"/>
  <c r="G5" i="2"/>
  <c r="D5" i="2"/>
  <c r="K4" i="2"/>
  <c r="K5" i="2" s="1"/>
  <c r="I4" i="2"/>
  <c r="F4" i="2"/>
  <c r="L3" i="2"/>
  <c r="F3" i="2"/>
  <c r="F9" i="2" l="1"/>
  <c r="L11" i="2"/>
  <c r="M11" i="2" s="1"/>
  <c r="L13" i="2"/>
  <c r="M13" i="2" s="1"/>
  <c r="L15" i="2"/>
  <c r="M15" i="2" s="1"/>
  <c r="D23" i="2"/>
  <c r="D33" i="2" s="1"/>
  <c r="D55" i="2" s="1"/>
  <c r="J23" i="2"/>
  <c r="J33" i="2" s="1"/>
  <c r="L19" i="2"/>
  <c r="M19" i="2" s="1"/>
  <c r="H33" i="2"/>
  <c r="H55" i="2" s="1"/>
  <c r="L8" i="2"/>
  <c r="M8" i="2" s="1"/>
  <c r="L21" i="2"/>
  <c r="M21" i="2" s="1"/>
  <c r="I5" i="2"/>
  <c r="L28" i="2"/>
  <c r="M28" i="2" s="1"/>
  <c r="M26" i="2"/>
  <c r="L4" i="2"/>
  <c r="L5" i="2" s="1"/>
  <c r="L17" i="2"/>
  <c r="M17" i="2" s="1"/>
  <c r="F5" i="2"/>
  <c r="K23" i="2"/>
  <c r="K33" i="2" s="1"/>
  <c r="G23" i="2"/>
  <c r="C33" i="2"/>
  <c r="C55" i="2" s="1"/>
  <c r="I28" i="2"/>
  <c r="F47" i="2"/>
  <c r="M4" i="2"/>
  <c r="G33" i="2"/>
  <c r="G55" i="2" s="1"/>
  <c r="I9" i="2"/>
  <c r="F23" i="2" l="1"/>
  <c r="F33" i="2" s="1"/>
  <c r="F55" i="2" s="1"/>
  <c r="I23" i="2"/>
  <c r="I33" i="2" s="1"/>
  <c r="L9" i="2"/>
  <c r="M9" i="2" s="1"/>
  <c r="M5" i="2"/>
  <c r="L23" i="2" l="1"/>
  <c r="M23" i="2"/>
  <c r="L33" i="2"/>
  <c r="M33" i="2" s="1"/>
</calcChain>
</file>

<file path=xl/sharedStrings.xml><?xml version="1.0" encoding="utf-8"?>
<sst xmlns="http://schemas.openxmlformats.org/spreadsheetml/2006/main" count="458" uniqueCount="97">
  <si>
    <t>FY18</t>
    <phoneticPr fontId="11" type="noConversion"/>
  </si>
  <si>
    <t>FY19</t>
  </si>
  <si>
    <t>FY20</t>
  </si>
  <si>
    <t>Custom</t>
  </si>
  <si>
    <t xml:space="preserve">       Net Change</t>
  </si>
  <si>
    <t xml:space="preserve">   Contributions</t>
    <phoneticPr fontId="11" type="noConversion"/>
  </si>
  <si>
    <t xml:space="preserve">   Distributions</t>
    <phoneticPr fontId="11" type="noConversion"/>
  </si>
  <si>
    <t>% Return</t>
  </si>
  <si>
    <t>Benchmark</t>
    <phoneticPr fontId="11" type="noConversion"/>
  </si>
  <si>
    <t>Note</t>
    <phoneticPr fontId="11" type="noConversion"/>
  </si>
  <si>
    <t>Harris Fell. - Sequoia Fund</t>
  </si>
  <si>
    <t>Harris Fell. - Charles Schwab</t>
  </si>
  <si>
    <t>1)</t>
    <phoneticPr fontId="11" type="noConversion"/>
  </si>
  <si>
    <t>Total Harris Fellowship</t>
  </si>
  <si>
    <t>Platt Fellowship - Sequoia Fund</t>
    <phoneticPr fontId="11" type="noConversion"/>
  </si>
  <si>
    <t>Platt Fell. - Charles Schwab</t>
  </si>
  <si>
    <t>2)</t>
    <phoneticPr fontId="11" type="noConversion"/>
  </si>
  <si>
    <t>Total Platt Fellowship</t>
  </si>
  <si>
    <t>3)</t>
  </si>
  <si>
    <t>Wright/Meyers Fund - Charles Schwab</t>
  </si>
  <si>
    <t>4)</t>
    <phoneticPr fontId="11" type="noConversion"/>
  </si>
  <si>
    <t>PE MacAllister Fellowship - Charles Schwab</t>
    <phoneticPr fontId="11" type="noConversion"/>
  </si>
  <si>
    <t>5)</t>
    <phoneticPr fontId="11" type="noConversion"/>
  </si>
  <si>
    <t>Strange / Midkiff Fellowship - Charles Schwab</t>
  </si>
  <si>
    <t>6)</t>
    <phoneticPr fontId="11" type="noConversion"/>
  </si>
  <si>
    <t>Carol and Eric Meyers Scholarship - Charles Schwab</t>
    <phoneticPr fontId="11" type="noConversion"/>
  </si>
  <si>
    <t>7)</t>
    <phoneticPr fontId="11" type="noConversion"/>
  </si>
  <si>
    <t>8)</t>
  </si>
  <si>
    <t>Dana Fund</t>
  </si>
  <si>
    <t>Total ASOR Fellowships</t>
  </si>
  <si>
    <t>1)</t>
  </si>
  <si>
    <t>Endowment - Sequoia Fund</t>
  </si>
  <si>
    <t>INVESTMENTS SUBTOTAL</t>
  </si>
  <si>
    <t>Temp. Restricted - Citizens and Schwab</t>
  </si>
  <si>
    <t>Citizens Savings TR portion</t>
    <phoneticPr fontId="11" type="noConversion"/>
  </si>
  <si>
    <t>Schwab Account- TR portion</t>
  </si>
  <si>
    <t>Citizens Savings - CHI funds</t>
    <phoneticPr fontId="11" type="noConversion"/>
  </si>
  <si>
    <t>2)</t>
  </si>
  <si>
    <t>ASOR General Fund- Charles Schwab</t>
  </si>
  <si>
    <t>Citizens Savings</t>
    <phoneticPr fontId="11" type="noConversion"/>
  </si>
  <si>
    <t>BB&amp;T Checking</t>
  </si>
  <si>
    <t>Citizens Bank Checking</t>
    <phoneticPr fontId="11" type="noConversion"/>
  </si>
  <si>
    <t>TOTAL GENERAL FUND</t>
  </si>
  <si>
    <t>Journals Escrow Account - Charles Schwab</t>
  </si>
  <si>
    <t>CASH (TR and General Fund) SUBTOTAL</t>
  </si>
  <si>
    <t>BB&amp;T Line of Credit Loan</t>
  </si>
  <si>
    <t>REAL PROPERTY NET OF LOANS SUBTOTAL</t>
  </si>
  <si>
    <t xml:space="preserve"> GRAND TOTAL</t>
  </si>
  <si>
    <t>Nies Fund - Citigroup (only updated each quarter)</t>
  </si>
  <si>
    <t>J. Strange Center (209 Commerce, Alexandria, VA)</t>
  </si>
  <si>
    <t>FY20 to date</t>
  </si>
  <si>
    <t>Invest Return</t>
  </si>
  <si>
    <t>ASOR Fellowships and Grants:</t>
  </si>
  <si>
    <t>ASOR Endowment for Operations:</t>
  </si>
  <si>
    <t>Total ASOR Endowment for Operations</t>
  </si>
  <si>
    <t>Publications OF - Charles Schwab (Publications)</t>
  </si>
  <si>
    <t>Joe D. Seger Excavation Fund - Charles Schwab</t>
  </si>
  <si>
    <r>
      <t xml:space="preserve">Endowment - </t>
    </r>
    <r>
      <rPr>
        <strike/>
        <sz val="10"/>
        <rFont val="Arial"/>
        <family val="2"/>
      </rPr>
      <t>Scott &amp; Stringfellow</t>
    </r>
    <r>
      <rPr>
        <sz val="10"/>
        <rFont val="Arial"/>
        <family val="2"/>
      </rPr>
      <t xml:space="preserve"> (Schwab until late FY19)</t>
    </r>
  </si>
  <si>
    <t>9)</t>
  </si>
  <si>
    <t>Geraty Fund</t>
  </si>
  <si>
    <t xml:space="preserve"> Building Fund - Charles Schwab</t>
  </si>
  <si>
    <t>Carol and Eric Meyers Scholarship</t>
  </si>
  <si>
    <t>Strange / Midkiff Fellowship</t>
  </si>
  <si>
    <t xml:space="preserve">PE MacAllister Fellowship </t>
  </si>
  <si>
    <r>
      <t xml:space="preserve">Endowment - </t>
    </r>
    <r>
      <rPr>
        <strike/>
        <sz val="10"/>
        <rFont val="Arial"/>
        <family val="2"/>
      </rPr>
      <t>Scott &amp; String</t>
    </r>
    <r>
      <rPr>
        <sz val="10"/>
        <rFont val="Arial"/>
        <family val="2"/>
      </rPr>
      <t xml:space="preserve"> (Schwab til late FY19)</t>
    </r>
  </si>
  <si>
    <t xml:space="preserve"> Publications OF - (Publications)</t>
  </si>
  <si>
    <t>Joe D. Seger Fund -  Schwab</t>
  </si>
  <si>
    <t>Carol &amp; Eric Meyers Scholarship</t>
  </si>
  <si>
    <t>Wright/Meyers Fund - Schwab</t>
  </si>
  <si>
    <t>Total ASOR Endowment</t>
  </si>
  <si>
    <t>Temp. Restricted</t>
  </si>
  <si>
    <t>ASOR General Fund- Schwab</t>
  </si>
  <si>
    <t>Journals Escrow Account</t>
  </si>
  <si>
    <t>CASH SUBTOTAL</t>
  </si>
  <si>
    <r>
      <t xml:space="preserve">Endowment - </t>
    </r>
    <r>
      <rPr>
        <strike/>
        <sz val="9"/>
        <rFont val="Arial"/>
        <family val="2"/>
      </rPr>
      <t>Scott &amp; String</t>
    </r>
  </si>
  <si>
    <t xml:space="preserve">   Contrib.</t>
  </si>
  <si>
    <t>Net</t>
  </si>
  <si>
    <t>Change</t>
  </si>
  <si>
    <t xml:space="preserve">   Distrib..</t>
  </si>
  <si>
    <t>% Rtn</t>
  </si>
  <si>
    <t>Joe D. Seger Excavation Fund</t>
  </si>
  <si>
    <t>ASOR General Fund</t>
  </si>
  <si>
    <t>CASH (TR and GF) SUBTOTAL</t>
  </si>
  <si>
    <t>J. Strange Center</t>
  </si>
  <si>
    <t xml:space="preserve">   Distrib.</t>
  </si>
  <si>
    <t>To Date</t>
  </si>
  <si>
    <t>Carol and Eric Meyers</t>
  </si>
  <si>
    <t>Wright/Meyers Fund</t>
  </si>
  <si>
    <t xml:space="preserve"> Building Fund</t>
  </si>
  <si>
    <t xml:space="preserve"> Publications OF</t>
  </si>
  <si>
    <t>REAL PROPERTY SUBTOTAL</t>
  </si>
  <si>
    <t>Nies Fund - Citigroup</t>
  </si>
  <si>
    <t>BB&amp;T Saving (Dept State Funds)</t>
  </si>
  <si>
    <t>Total Temp Restrict Funds</t>
  </si>
  <si>
    <t>BB&amp;T PPP Loan</t>
  </si>
  <si>
    <t>4)</t>
  </si>
  <si>
    <t>BB&amp;T Savings (Dept State)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</si>
</sst>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4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color indexed="10"/>
      <name val="Arial"/>
      <family val="2"/>
    </font>
    <font>
      <sz val="6"/>
      <name val="Arial"/>
      <family val="2"/>
    </font>
    <font>
      <b/>
      <sz val="6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6.5"/>
      <color indexed="10"/>
      <name val="Arial"/>
      <family val="2"/>
    </font>
    <font>
      <sz val="8"/>
      <name val="Arial"/>
      <family val="2"/>
    </font>
    <font>
      <sz val="10"/>
      <color rgb="FF92D050"/>
      <name val="Arial"/>
      <family val="2"/>
    </font>
    <font>
      <sz val="10"/>
      <color rgb="FFC00000"/>
      <name val="Arial"/>
      <family val="2"/>
    </font>
    <font>
      <b/>
      <sz val="6.5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i/>
      <sz val="6"/>
      <color indexed="10"/>
      <name val="Arial"/>
      <family val="2"/>
    </font>
    <font>
      <i/>
      <sz val="6.5"/>
      <name val="Arial"/>
      <family val="2"/>
    </font>
    <font>
      <b/>
      <i/>
      <sz val="6.5"/>
      <name val="Arial"/>
      <family val="2"/>
    </font>
    <font>
      <sz val="6.5"/>
      <name val="Arial"/>
      <family val="2"/>
    </font>
    <font>
      <b/>
      <i/>
      <sz val="10"/>
      <color indexed="10"/>
      <name val="Arial"/>
      <family val="2"/>
    </font>
    <font>
      <strike/>
      <sz val="10"/>
      <name val="Arial"/>
      <family val="2"/>
    </font>
    <font>
      <b/>
      <i/>
      <sz val="6.5"/>
      <color indexed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color rgb="FF92D050"/>
      <name val="Arial"/>
      <family val="2"/>
    </font>
    <font>
      <sz val="9"/>
      <color indexed="10"/>
      <name val="Arial"/>
      <family val="2"/>
    </font>
    <font>
      <sz val="9"/>
      <color rgb="FFC00000"/>
      <name val="Arial"/>
      <family val="2"/>
    </font>
    <font>
      <b/>
      <i/>
      <sz val="9"/>
      <name val="Arial"/>
      <family val="2"/>
    </font>
    <font>
      <b/>
      <i/>
      <sz val="9"/>
      <color indexed="10"/>
      <name val="Arial"/>
      <family val="2"/>
    </font>
    <font>
      <strike/>
      <sz val="9"/>
      <name val="Arial"/>
      <family val="2"/>
    </font>
    <font>
      <vertAlign val="superscript"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44" fontId="0" fillId="0" borderId="0" xfId="2" applyFont="1"/>
    <xf numFmtId="44" fontId="0" fillId="0" borderId="1" xfId="2" applyFont="1" applyBorder="1"/>
    <xf numFmtId="44" fontId="0" fillId="0" borderId="2" xfId="2" applyFont="1" applyBorder="1"/>
    <xf numFmtId="44" fontId="2" fillId="0" borderId="2" xfId="2" applyFont="1" applyFill="1" applyBorder="1"/>
    <xf numFmtId="44" fontId="4" fillId="0" borderId="2" xfId="2" applyFont="1" applyFill="1" applyBorder="1"/>
    <xf numFmtId="44" fontId="4" fillId="0" borderId="2" xfId="0" applyNumberFormat="1" applyFont="1" applyFill="1" applyBorder="1"/>
    <xf numFmtId="44" fontId="4" fillId="2" borderId="2" xfId="2" applyFont="1" applyFill="1" applyBorder="1"/>
    <xf numFmtId="44" fontId="0" fillId="0" borderId="0" xfId="2" applyFont="1" applyBorder="1"/>
    <xf numFmtId="44" fontId="2" fillId="0" borderId="0" xfId="2" applyFont="1" applyBorder="1"/>
    <xf numFmtId="44" fontId="5" fillId="0" borderId="2" xfId="2" applyFont="1" applyBorder="1"/>
    <xf numFmtId="164" fontId="6" fillId="0" borderId="0" xfId="3" applyNumberFormat="1" applyFont="1"/>
    <xf numFmtId="44" fontId="0" fillId="0" borderId="4" xfId="2" applyFont="1" applyBorder="1"/>
    <xf numFmtId="44" fontId="7" fillId="0" borderId="2" xfId="2" applyFont="1" applyFill="1" applyBorder="1"/>
    <xf numFmtId="44" fontId="9" fillId="0" borderId="2" xfId="0" applyNumberFormat="1" applyFont="1" applyFill="1" applyBorder="1"/>
    <xf numFmtId="44" fontId="5" fillId="0" borderId="2" xfId="2" applyFont="1" applyFill="1" applyBorder="1" applyAlignment="1">
      <alignment horizontal="center"/>
    </xf>
    <xf numFmtId="44" fontId="5" fillId="2" borderId="2" xfId="2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44" fontId="12" fillId="0" borderId="5" xfId="2" applyFont="1" applyBorder="1"/>
    <xf numFmtId="44" fontId="5" fillId="0" borderId="6" xfId="2" applyFont="1" applyBorder="1"/>
    <xf numFmtId="44" fontId="5" fillId="0" borderId="7" xfId="2" applyFont="1" applyBorder="1"/>
    <xf numFmtId="15" fontId="5" fillId="0" borderId="8" xfId="2" applyNumberFormat="1" applyFont="1" applyBorder="1"/>
    <xf numFmtId="15" fontId="5" fillId="0" borderId="8" xfId="2" applyNumberFormat="1" applyFont="1" applyFill="1" applyBorder="1"/>
    <xf numFmtId="15" fontId="5" fillId="0" borderId="8" xfId="0" applyNumberFormat="1" applyFont="1" applyFill="1" applyBorder="1"/>
    <xf numFmtId="15" fontId="5" fillId="2" borderId="8" xfId="2" applyNumberFormat="1" applyFont="1" applyFill="1" applyBorder="1" applyAlignment="1">
      <alignment horizontal="right"/>
    </xf>
    <xf numFmtId="15" fontId="5" fillId="0" borderId="9" xfId="2" applyNumberFormat="1" applyFont="1" applyBorder="1"/>
    <xf numFmtId="15" fontId="10" fillId="0" borderId="8" xfId="2" applyNumberFormat="1" applyFont="1" applyFill="1" applyBorder="1"/>
    <xf numFmtId="15" fontId="10" fillId="0" borderId="9" xfId="2" applyNumberFormat="1" applyFont="1" applyBorder="1"/>
    <xf numFmtId="164" fontId="11" fillId="0" borderId="8" xfId="1" applyNumberFormat="1" applyFont="1" applyBorder="1" applyAlignment="1">
      <alignment horizontal="center"/>
    </xf>
    <xf numFmtId="44" fontId="11" fillId="0" borderId="9" xfId="2" applyFont="1" applyBorder="1"/>
    <xf numFmtId="44" fontId="5" fillId="0" borderId="9" xfId="2" applyFont="1" applyBorder="1"/>
    <xf numFmtId="44" fontId="5" fillId="0" borderId="2" xfId="2" applyFont="1" applyFill="1" applyBorder="1"/>
    <xf numFmtId="44" fontId="5" fillId="0" borderId="2" xfId="0" applyNumberFormat="1" applyFont="1" applyFill="1" applyBorder="1"/>
    <xf numFmtId="44" fontId="5" fillId="2" borderId="2" xfId="2" applyFont="1" applyFill="1" applyBorder="1"/>
    <xf numFmtId="164" fontId="0" fillId="0" borderId="0" xfId="3" applyNumberFormat="1" applyFont="1"/>
    <xf numFmtId="44" fontId="15" fillId="0" borderId="0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44" fontId="0" fillId="0" borderId="11" xfId="2" applyFont="1" applyBorder="1"/>
    <xf numFmtId="44" fontId="13" fillId="0" borderId="12" xfId="2" applyFont="1" applyBorder="1"/>
    <xf numFmtId="44" fontId="0" fillId="0" borderId="13" xfId="2" applyFont="1" applyBorder="1"/>
    <xf numFmtId="44" fontId="2" fillId="0" borderId="14" xfId="2" applyFont="1" applyBorder="1"/>
    <xf numFmtId="44" fontId="16" fillId="0" borderId="13" xfId="2" applyFont="1" applyBorder="1"/>
    <xf numFmtId="44" fontId="2" fillId="0" borderId="11" xfId="2" applyFont="1" applyBorder="1"/>
    <xf numFmtId="44" fontId="2" fillId="0" borderId="13" xfId="2" applyFont="1" applyBorder="1"/>
    <xf numFmtId="164" fontId="0" fillId="0" borderId="13" xfId="3" applyNumberFormat="1" applyFont="1" applyBorder="1"/>
    <xf numFmtId="164" fontId="2" fillId="0" borderId="13" xfId="1" applyNumberFormat="1" applyFont="1" applyBorder="1"/>
    <xf numFmtId="44" fontId="5" fillId="0" borderId="0" xfId="2" applyFont="1"/>
    <xf numFmtId="44" fontId="17" fillId="0" borderId="3" xfId="2" applyFont="1" applyBorder="1"/>
    <xf numFmtId="44" fontId="5" fillId="0" borderId="15" xfId="2" applyFont="1" applyFill="1" applyBorder="1"/>
    <xf numFmtId="44" fontId="5" fillId="0" borderId="15" xfId="0" applyNumberFormat="1" applyFont="1" applyFill="1" applyBorder="1"/>
    <xf numFmtId="44" fontId="5" fillId="2" borderId="15" xfId="2" applyFont="1" applyFill="1" applyBorder="1"/>
    <xf numFmtId="44" fontId="5" fillId="0" borderId="0" xfId="2" applyFont="1" applyBorder="1"/>
    <xf numFmtId="164" fontId="0" fillId="0" borderId="2" xfId="3" applyNumberFormat="1" applyFont="1" applyBorder="1"/>
    <xf numFmtId="44" fontId="5" fillId="0" borderId="3" xfId="2" applyFont="1" applyBorder="1"/>
    <xf numFmtId="44" fontId="18" fillId="0" borderId="2" xfId="2" applyFont="1" applyFill="1" applyBorder="1"/>
    <xf numFmtId="44" fontId="19" fillId="0" borderId="2" xfId="2" applyFont="1" applyFill="1" applyBorder="1"/>
    <xf numFmtId="44" fontId="19" fillId="0" borderId="2" xfId="0" applyNumberFormat="1" applyFont="1" applyFill="1" applyBorder="1"/>
    <xf numFmtId="44" fontId="19" fillId="2" borderId="2" xfId="2" applyFont="1" applyFill="1" applyBorder="1"/>
    <xf numFmtId="44" fontId="0" fillId="0" borderId="3" xfId="2" applyFont="1" applyBorder="1"/>
    <xf numFmtId="44" fontId="5" fillId="0" borderId="2" xfId="2" applyNumberFormat="1" applyFont="1" applyFill="1" applyBorder="1"/>
    <xf numFmtId="44" fontId="5" fillId="2" borderId="2" xfId="2" applyNumberFormat="1" applyFont="1" applyFill="1" applyBorder="1"/>
    <xf numFmtId="44" fontId="5" fillId="2" borderId="13" xfId="2" applyFont="1" applyFill="1" applyBorder="1"/>
    <xf numFmtId="44" fontId="2" fillId="0" borderId="3" xfId="2" applyFont="1" applyBorder="1"/>
    <xf numFmtId="44" fontId="5" fillId="2" borderId="17" xfId="2" applyFont="1" applyFill="1" applyBorder="1"/>
    <xf numFmtId="44" fontId="13" fillId="0" borderId="2" xfId="2" applyFont="1" applyBorder="1"/>
    <xf numFmtId="44" fontId="7" fillId="0" borderId="2" xfId="2" applyFont="1" applyBorder="1"/>
    <xf numFmtId="44" fontId="20" fillId="0" borderId="2" xfId="2" applyFont="1" applyFill="1" applyBorder="1"/>
    <xf numFmtId="44" fontId="21" fillId="0" borderId="2" xfId="2" applyFont="1" applyFill="1" applyBorder="1"/>
    <xf numFmtId="44" fontId="22" fillId="0" borderId="2" xfId="0" applyNumberFormat="1" applyFont="1" applyFill="1" applyBorder="1"/>
    <xf numFmtId="44" fontId="21" fillId="2" borderId="2" xfId="2" applyFont="1" applyFill="1" applyBorder="1"/>
    <xf numFmtId="44" fontId="8" fillId="0" borderId="0" xfId="2" applyFont="1" applyBorder="1"/>
    <xf numFmtId="44" fontId="5" fillId="0" borderId="1" xfId="2" applyFont="1" applyFill="1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Fill="1" applyBorder="1"/>
    <xf numFmtId="0" fontId="2" fillId="2" borderId="2" xfId="0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0" fontId="6" fillId="0" borderId="0" xfId="0" applyFont="1"/>
    <xf numFmtId="44" fontId="14" fillId="0" borderId="0" xfId="2" applyFont="1"/>
    <xf numFmtId="164" fontId="0" fillId="0" borderId="1" xfId="3" applyNumberFormat="1" applyFont="1" applyBorder="1"/>
    <xf numFmtId="44" fontId="23" fillId="0" borderId="2" xfId="2" applyFont="1" applyFill="1" applyBorder="1"/>
    <xf numFmtId="44" fontId="24" fillId="0" borderId="2" xfId="2" applyFont="1" applyFill="1" applyBorder="1"/>
    <xf numFmtId="44" fontId="24" fillId="0" borderId="2" xfId="0" applyNumberFormat="1" applyFont="1" applyFill="1" applyBorder="1"/>
    <xf numFmtId="44" fontId="24" fillId="2" borderId="2" xfId="2" applyFont="1" applyFill="1" applyBorder="1"/>
    <xf numFmtId="44" fontId="24" fillId="2" borderId="13" xfId="2" applyFont="1" applyFill="1" applyBorder="1"/>
    <xf numFmtId="44" fontId="25" fillId="0" borderId="0" xfId="2" applyFont="1" applyBorder="1"/>
    <xf numFmtId="44" fontId="5" fillId="0" borderId="18" xfId="2" applyFont="1" applyBorder="1"/>
    <xf numFmtId="44" fontId="12" fillId="0" borderId="18" xfId="2" applyFont="1" applyBorder="1"/>
    <xf numFmtId="44" fontId="5" fillId="0" borderId="19" xfId="2" applyFont="1" applyBorder="1"/>
    <xf numFmtId="44" fontId="5" fillId="0" borderId="19" xfId="2" applyFont="1" applyFill="1" applyBorder="1"/>
    <xf numFmtId="44" fontId="5" fillId="0" borderId="20" xfId="0" applyNumberFormat="1" applyFont="1" applyFill="1" applyBorder="1"/>
    <xf numFmtId="44" fontId="5" fillId="2" borderId="19" xfId="2" applyFont="1" applyFill="1" applyBorder="1"/>
    <xf numFmtId="44" fontId="5" fillId="0" borderId="20" xfId="2" applyFont="1" applyBorder="1"/>
    <xf numFmtId="164" fontId="0" fillId="0" borderId="8" xfId="3" applyNumberFormat="1" applyFont="1" applyBorder="1"/>
    <xf numFmtId="44" fontId="14" fillId="0" borderId="18" xfId="2" applyFont="1" applyBorder="1"/>
    <xf numFmtId="44" fontId="5" fillId="0" borderId="5" xfId="2" applyFont="1" applyBorder="1"/>
    <xf numFmtId="44" fontId="12" fillId="0" borderId="6" xfId="2" applyFont="1" applyBorder="1"/>
    <xf numFmtId="44" fontId="26" fillId="0" borderId="2" xfId="2" applyFont="1" applyFill="1" applyBorder="1"/>
    <xf numFmtId="44" fontId="26" fillId="2" borderId="2" xfId="2" applyFont="1" applyFill="1" applyBorder="1"/>
    <xf numFmtId="164" fontId="0" fillId="0" borderId="0" xfId="3" applyNumberFormat="1" applyFont="1" applyBorder="1"/>
    <xf numFmtId="44" fontId="2" fillId="0" borderId="0" xfId="2" applyFont="1"/>
    <xf numFmtId="44" fontId="0" fillId="0" borderId="21" xfId="2" applyFont="1" applyBorder="1"/>
    <xf numFmtId="164" fontId="0" fillId="0" borderId="11" xfId="3" applyNumberFormat="1" applyFont="1" applyBorder="1"/>
    <xf numFmtId="44" fontId="5" fillId="0" borderId="22" xfId="2" applyFont="1" applyBorder="1"/>
    <xf numFmtId="44" fontId="12" fillId="0" borderId="0" xfId="2" applyFont="1" applyBorder="1"/>
    <xf numFmtId="44" fontId="5" fillId="0" borderId="15" xfId="2" applyFont="1" applyBorder="1"/>
    <xf numFmtId="44" fontId="5" fillId="0" borderId="16" xfId="2" applyFont="1" applyBorder="1"/>
    <xf numFmtId="164" fontId="0" fillId="0" borderId="15" xfId="3" applyNumberFormat="1" applyFont="1" applyBorder="1"/>
    <xf numFmtId="44" fontId="14" fillId="0" borderId="16" xfId="2" applyFont="1" applyBorder="1"/>
    <xf numFmtId="44" fontId="0" fillId="0" borderId="9" xfId="2" applyFont="1" applyBorder="1"/>
    <xf numFmtId="44" fontId="12" fillId="0" borderId="9" xfId="2" applyFont="1" applyBorder="1"/>
    <xf numFmtId="44" fontId="13" fillId="0" borderId="23" xfId="2" applyFont="1" applyBorder="1"/>
    <xf numFmtId="44" fontId="18" fillId="0" borderId="8" xfId="2" applyFont="1" applyFill="1" applyBorder="1"/>
    <xf numFmtId="44" fontId="19" fillId="0" borderId="8" xfId="0" applyNumberFormat="1" applyFont="1" applyFill="1" applyBorder="1"/>
    <xf numFmtId="44" fontId="26" fillId="0" borderId="8" xfId="2" applyFont="1" applyFill="1" applyBorder="1"/>
    <xf numFmtId="44" fontId="26" fillId="2" borderId="8" xfId="2" applyFont="1" applyFill="1" applyBorder="1"/>
    <xf numFmtId="44" fontId="2" fillId="0" borderId="7" xfId="2" applyFont="1" applyBorder="1"/>
    <xf numFmtId="44" fontId="0" fillId="0" borderId="8" xfId="2" applyFont="1" applyBorder="1"/>
    <xf numFmtId="44" fontId="2" fillId="0" borderId="9" xfId="2" applyFont="1" applyBorder="1"/>
    <xf numFmtId="44" fontId="5" fillId="0" borderId="8" xfId="2" applyFont="1" applyBorder="1"/>
    <xf numFmtId="44" fontId="13" fillId="0" borderId="10" xfId="2" applyFont="1" applyBorder="1"/>
    <xf numFmtId="44" fontId="28" fillId="0" borderId="2" xfId="2" applyFont="1" applyFill="1" applyBorder="1"/>
    <xf numFmtId="44" fontId="28" fillId="2" borderId="2" xfId="2" applyFont="1" applyFill="1" applyBorder="1"/>
    <xf numFmtId="44" fontId="12" fillId="0" borderId="24" xfId="2" applyFont="1" applyBorder="1"/>
    <xf numFmtId="44" fontId="12" fillId="0" borderId="25" xfId="2" applyFont="1" applyBorder="1"/>
    <xf numFmtId="44" fontId="12" fillId="0" borderId="26" xfId="2" applyFont="1" applyBorder="1"/>
    <xf numFmtId="44" fontId="12" fillId="0" borderId="26" xfId="2" applyFont="1" applyFill="1" applyBorder="1"/>
    <xf numFmtId="44" fontId="12" fillId="0" borderId="27" xfId="0" applyNumberFormat="1" applyFont="1" applyFill="1" applyBorder="1"/>
    <xf numFmtId="44" fontId="12" fillId="2" borderId="26" xfId="2" applyFont="1" applyFill="1" applyBorder="1"/>
    <xf numFmtId="164" fontId="0" fillId="0" borderId="26" xfId="3" applyNumberFormat="1" applyFont="1" applyBorder="1"/>
    <xf numFmtId="44" fontId="14" fillId="0" borderId="27" xfId="2" applyFont="1" applyBorder="1"/>
    <xf numFmtId="44" fontId="28" fillId="0" borderId="2" xfId="0" applyNumberFormat="1" applyFont="1" applyFill="1" applyBorder="1"/>
    <xf numFmtId="44" fontId="13" fillId="0" borderId="0" xfId="2" applyFont="1" applyBorder="1"/>
    <xf numFmtId="164" fontId="5" fillId="0" borderId="0" xfId="3" applyNumberFormat="1" applyFont="1" applyBorder="1"/>
    <xf numFmtId="164" fontId="5" fillId="0" borderId="2" xfId="1" applyNumberFormat="1" applyFont="1" applyBorder="1"/>
    <xf numFmtId="44" fontId="3" fillId="0" borderId="2" xfId="2" applyFont="1" applyBorder="1"/>
    <xf numFmtId="44" fontId="4" fillId="0" borderId="2" xfId="2" applyFont="1" applyBorder="1"/>
    <xf numFmtId="44" fontId="5" fillId="0" borderId="13" xfId="0" applyNumberFormat="1" applyFont="1" applyFill="1" applyBorder="1"/>
    <xf numFmtId="44" fontId="5" fillId="0" borderId="13" xfId="2" applyFont="1" applyFill="1" applyBorder="1"/>
    <xf numFmtId="44" fontId="29" fillId="0" borderId="2" xfId="2" applyFont="1" applyBorder="1"/>
    <xf numFmtId="44" fontId="2" fillId="0" borderId="8" xfId="2" applyFont="1" applyBorder="1"/>
    <xf numFmtId="44" fontId="5" fillId="0" borderId="8" xfId="2" applyFont="1" applyFill="1" applyBorder="1"/>
    <xf numFmtId="44" fontId="4" fillId="0" borderId="8" xfId="0" applyNumberFormat="1" applyFont="1" applyFill="1" applyBorder="1"/>
    <xf numFmtId="44" fontId="5" fillId="2" borderId="8" xfId="2" applyFont="1" applyFill="1" applyBorder="1"/>
    <xf numFmtId="44" fontId="3" fillId="0" borderId="8" xfId="2" applyFont="1" applyBorder="1"/>
    <xf numFmtId="164" fontId="6" fillId="0" borderId="9" xfId="3" applyNumberFormat="1" applyFont="1" applyBorder="1"/>
    <xf numFmtId="164" fontId="2" fillId="0" borderId="8" xfId="1" applyNumberFormat="1" applyFont="1" applyBorder="1"/>
    <xf numFmtId="44" fontId="30" fillId="0" borderId="9" xfId="2" applyFont="1" applyBorder="1"/>
    <xf numFmtId="44" fontId="30" fillId="0" borderId="8" xfId="2" applyFont="1" applyBorder="1"/>
    <xf numFmtId="44" fontId="12" fillId="0" borderId="8" xfId="2" applyFont="1" applyFill="1" applyBorder="1"/>
    <xf numFmtId="44" fontId="31" fillId="0" borderId="8" xfId="0" applyNumberFormat="1" applyFont="1" applyFill="1" applyBorder="1"/>
    <xf numFmtId="44" fontId="12" fillId="2" borderId="8" xfId="2" applyFont="1" applyFill="1" applyBorder="1"/>
    <xf numFmtId="44" fontId="32" fillId="0" borderId="8" xfId="2" applyFont="1" applyBorder="1"/>
    <xf numFmtId="164" fontId="30" fillId="0" borderId="9" xfId="3" applyNumberFormat="1" applyFont="1" applyBorder="1"/>
    <xf numFmtId="164" fontId="30" fillId="0" borderId="8" xfId="1" applyNumberFormat="1" applyFont="1" applyBorder="1"/>
    <xf numFmtId="44" fontId="2" fillId="0" borderId="24" xfId="2" applyFont="1" applyBorder="1"/>
    <xf numFmtId="44" fontId="2" fillId="0" borderId="26" xfId="2" applyFont="1" applyBorder="1"/>
    <xf numFmtId="44" fontId="5" fillId="0" borderId="26" xfId="2" applyFont="1" applyFill="1" applyBorder="1"/>
    <xf numFmtId="44" fontId="4" fillId="0" borderId="26" xfId="0" applyNumberFormat="1" applyFont="1" applyFill="1" applyBorder="1"/>
    <xf numFmtId="44" fontId="3" fillId="0" borderId="26" xfId="2" applyFont="1" applyBorder="1"/>
    <xf numFmtId="164" fontId="6" fillId="0" borderId="24" xfId="3" applyNumberFormat="1" applyFont="1" applyBorder="1"/>
    <xf numFmtId="164" fontId="2" fillId="0" borderId="26" xfId="1" applyNumberFormat="1" applyFont="1" applyBorder="1"/>
    <xf numFmtId="44" fontId="33" fillId="0" borderId="24" xfId="2" applyFont="1" applyBorder="1"/>
    <xf numFmtId="164" fontId="5" fillId="0" borderId="24" xfId="3" applyNumberFormat="1" applyFont="1" applyBorder="1"/>
    <xf numFmtId="164" fontId="5" fillId="0" borderId="26" xfId="1" applyNumberFormat="1" applyFont="1" applyBorder="1"/>
    <xf numFmtId="44" fontId="5" fillId="0" borderId="24" xfId="2" applyFont="1" applyBorder="1"/>
    <xf numFmtId="44" fontId="5" fillId="0" borderId="26" xfId="2" applyFont="1" applyBorder="1"/>
    <xf numFmtId="44" fontId="5" fillId="0" borderId="26" xfId="0" applyNumberFormat="1" applyFont="1" applyFill="1" applyBorder="1"/>
    <xf numFmtId="44" fontId="5" fillId="2" borderId="26" xfId="2" applyFont="1" applyFill="1" applyBorder="1"/>
    <xf numFmtId="44" fontId="0" fillId="0" borderId="24" xfId="2" applyFont="1" applyBorder="1"/>
    <xf numFmtId="164" fontId="5" fillId="0" borderId="25" xfId="3" applyNumberFormat="1" applyFont="1" applyBorder="1"/>
    <xf numFmtId="44" fontId="0" fillId="0" borderId="0" xfId="2" applyFont="1" applyFill="1" applyBorder="1"/>
    <xf numFmtId="44" fontId="3" fillId="0" borderId="0" xfId="2" applyFont="1" applyFill="1" applyBorder="1"/>
    <xf numFmtId="44" fontId="4" fillId="0" borderId="0" xfId="2" applyFont="1" applyFill="1" applyBorder="1"/>
    <xf numFmtId="44" fontId="4" fillId="0" borderId="0" xfId="0" applyNumberFormat="1" applyFont="1" applyFill="1" applyBorder="1"/>
    <xf numFmtId="44" fontId="2" fillId="0" borderId="0" xfId="2" applyFont="1" applyFill="1" applyBorder="1"/>
    <xf numFmtId="44" fontId="5" fillId="0" borderId="0" xfId="2" applyFont="1" applyFill="1" applyBorder="1"/>
    <xf numFmtId="164" fontId="6" fillId="0" borderId="0" xfId="3" applyNumberFormat="1" applyFont="1" applyFill="1" applyBorder="1"/>
    <xf numFmtId="164" fontId="2" fillId="0" borderId="0" xfId="1" applyNumberFormat="1" applyFont="1" applyFill="1" applyBorder="1"/>
    <xf numFmtId="10" fontId="0" fillId="0" borderId="0" xfId="2" applyNumberFormat="1" applyFont="1"/>
    <xf numFmtId="0" fontId="0" fillId="0" borderId="1" xfId="0" applyBorder="1"/>
    <xf numFmtId="44" fontId="10" fillId="0" borderId="2" xfId="2" applyFont="1" applyBorder="1" applyAlignment="1">
      <alignment horizontal="center" vertical="center"/>
    </xf>
    <xf numFmtId="44" fontId="11" fillId="0" borderId="8" xfId="2" applyFont="1" applyBorder="1" applyAlignment="1">
      <alignment horizontal="center" vertical="center"/>
    </xf>
    <xf numFmtId="164" fontId="11" fillId="0" borderId="0" xfId="3" applyNumberFormat="1" applyFont="1" applyBorder="1" applyAlignment="1">
      <alignment horizontal="center" vertical="center"/>
    </xf>
    <xf numFmtId="164" fontId="10" fillId="0" borderId="9" xfId="3" applyNumberFormat="1" applyFont="1" applyBorder="1" applyAlignment="1">
      <alignment horizontal="center" vertical="center"/>
    </xf>
    <xf numFmtId="44" fontId="2" fillId="0" borderId="0" xfId="2" applyFont="1" applyBorder="1" applyAlignment="1">
      <alignment vertical="center"/>
    </xf>
    <xf numFmtId="164" fontId="2" fillId="0" borderId="2" xfId="1" applyNumberFormat="1" applyFont="1" applyFill="1" applyBorder="1"/>
    <xf numFmtId="164" fontId="5" fillId="0" borderId="19" xfId="3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5" fillId="0" borderId="15" xfId="3" applyNumberFormat="1" applyFont="1" applyFill="1" applyBorder="1" applyAlignment="1">
      <alignment horizontal="center"/>
    </xf>
    <xf numFmtId="164" fontId="2" fillId="0" borderId="8" xfId="1" applyNumberFormat="1" applyFont="1" applyFill="1" applyBorder="1" applyAlignment="1">
      <alignment horizontal="center"/>
    </xf>
    <xf numFmtId="164" fontId="5" fillId="0" borderId="26" xfId="3" applyNumberFormat="1" applyFont="1" applyFill="1" applyBorder="1" applyAlignment="1">
      <alignment horizontal="center"/>
    </xf>
    <xf numFmtId="164" fontId="5" fillId="0" borderId="2" xfId="1" applyNumberFormat="1" applyFont="1" applyFill="1" applyBorder="1"/>
    <xf numFmtId="44" fontId="12" fillId="0" borderId="25" xfId="2" applyFont="1" applyFill="1" applyBorder="1"/>
    <xf numFmtId="44" fontId="5" fillId="0" borderId="1" xfId="2" applyFont="1" applyBorder="1"/>
    <xf numFmtId="44" fontId="5" fillId="0" borderId="3" xfId="2" applyFont="1" applyFill="1" applyBorder="1"/>
    <xf numFmtId="164" fontId="2" fillId="0" borderId="0" xfId="1" applyNumberFormat="1" applyFont="1" applyBorder="1"/>
    <xf numFmtId="10" fontId="5" fillId="0" borderId="2" xfId="2" applyNumberFormat="1" applyFont="1" applyFill="1" applyBorder="1"/>
    <xf numFmtId="44" fontId="34" fillId="0" borderId="0" xfId="2" applyFont="1" applyBorder="1"/>
    <xf numFmtId="44" fontId="34" fillId="0" borderId="4" xfId="2" applyFont="1" applyBorder="1"/>
    <xf numFmtId="44" fontId="34" fillId="0" borderId="2" xfId="2" applyFont="1" applyBorder="1"/>
    <xf numFmtId="44" fontId="35" fillId="0" borderId="2" xfId="0" applyNumberFormat="1" applyFont="1" applyFill="1" applyBorder="1"/>
    <xf numFmtId="44" fontId="10" fillId="2" borderId="2" xfId="2" applyFont="1" applyFill="1" applyBorder="1" applyAlignment="1">
      <alignment horizontal="center"/>
    </xf>
    <xf numFmtId="44" fontId="6" fillId="0" borderId="0" xfId="2" applyFont="1" applyBorder="1"/>
    <xf numFmtId="164" fontId="10" fillId="0" borderId="0" xfId="3" applyNumberFormat="1" applyFont="1" applyBorder="1" applyAlignment="1">
      <alignment horizontal="center" vertical="center"/>
    </xf>
    <xf numFmtId="44" fontId="10" fillId="0" borderId="6" xfId="2" applyFont="1" applyBorder="1"/>
    <xf numFmtId="15" fontId="10" fillId="0" borderId="8" xfId="2" applyNumberFormat="1" applyFont="1" applyBorder="1"/>
    <xf numFmtId="15" fontId="10" fillId="0" borderId="8" xfId="0" applyNumberFormat="1" applyFont="1" applyFill="1" applyBorder="1"/>
    <xf numFmtId="15" fontId="10" fillId="2" borderId="8" xfId="2" applyNumberFormat="1" applyFont="1" applyFill="1" applyBorder="1" applyAlignment="1">
      <alignment horizontal="right"/>
    </xf>
    <xf numFmtId="44" fontId="10" fillId="0" borderId="8" xfId="2" applyFont="1" applyBorder="1" applyAlignment="1">
      <alignment horizontal="center" vertical="center"/>
    </xf>
    <xf numFmtId="44" fontId="10" fillId="0" borderId="9" xfId="2" applyFont="1" applyBorder="1"/>
    <xf numFmtId="44" fontId="34" fillId="0" borderId="0" xfId="2" applyFont="1"/>
    <xf numFmtId="44" fontId="10" fillId="0" borderId="2" xfId="0" applyNumberFormat="1" applyFont="1" applyFill="1" applyBorder="1"/>
    <xf numFmtId="44" fontId="10" fillId="2" borderId="2" xfId="2" applyFont="1" applyFill="1" applyBorder="1"/>
    <xf numFmtId="44" fontId="36" fillId="0" borderId="0" xfId="2" applyFont="1" applyBorder="1"/>
    <xf numFmtId="44" fontId="6" fillId="0" borderId="2" xfId="2" applyFont="1" applyBorder="1"/>
    <xf numFmtId="164" fontId="34" fillId="0" borderId="0" xfId="3" applyNumberFormat="1" applyFont="1"/>
    <xf numFmtId="44" fontId="34" fillId="0" borderId="11" xfId="2" applyFont="1" applyBorder="1"/>
    <xf numFmtId="44" fontId="37" fillId="0" borderId="12" xfId="2" applyFont="1" applyBorder="1"/>
    <xf numFmtId="44" fontId="6" fillId="0" borderId="14" xfId="2" applyFont="1" applyBorder="1"/>
    <xf numFmtId="44" fontId="38" fillId="0" borderId="13" xfId="2" applyFont="1" applyBorder="1"/>
    <xf numFmtId="44" fontId="6" fillId="0" borderId="11" xfId="2" applyFont="1" applyBorder="1"/>
    <xf numFmtId="44" fontId="6" fillId="0" borderId="13" xfId="2" applyFont="1" applyBorder="1"/>
    <xf numFmtId="164" fontId="34" fillId="0" borderId="13" xfId="3" applyNumberFormat="1" applyFont="1" applyBorder="1"/>
    <xf numFmtId="44" fontId="10" fillId="0" borderId="0" xfId="2" applyFont="1"/>
    <xf numFmtId="44" fontId="35" fillId="0" borderId="3" xfId="2" applyFont="1" applyBorder="1"/>
    <xf numFmtId="44" fontId="10" fillId="0" borderId="15" xfId="0" applyNumberFormat="1" applyFont="1" applyFill="1" applyBorder="1"/>
    <xf numFmtId="44" fontId="10" fillId="2" borderId="15" xfId="2" applyFont="1" applyFill="1" applyBorder="1"/>
    <xf numFmtId="44" fontId="10" fillId="0" borderId="2" xfId="2" applyFont="1" applyBorder="1"/>
    <xf numFmtId="44" fontId="10" fillId="0" borderId="0" xfId="2" applyFont="1" applyBorder="1"/>
    <xf numFmtId="164" fontId="34" fillId="0" borderId="2" xfId="3" applyNumberFormat="1" applyFont="1" applyBorder="1"/>
    <xf numFmtId="44" fontId="39" fillId="0" borderId="2" xfId="0" applyNumberFormat="1" applyFont="1" applyFill="1" applyBorder="1"/>
    <xf numFmtId="44" fontId="39" fillId="2" borderId="2" xfId="2" applyFont="1" applyFill="1" applyBorder="1"/>
    <xf numFmtId="44" fontId="34" fillId="0" borderId="1" xfId="2" applyFont="1" applyBorder="1"/>
    <xf numFmtId="44" fontId="10" fillId="2" borderId="2" xfId="2" applyNumberFormat="1" applyFont="1" applyFill="1" applyBorder="1"/>
    <xf numFmtId="44" fontId="34" fillId="0" borderId="13" xfId="2" applyFont="1" applyBorder="1"/>
    <xf numFmtId="44" fontId="10" fillId="2" borderId="13" xfId="2" applyFont="1" applyFill="1" applyBorder="1"/>
    <xf numFmtId="44" fontId="10" fillId="2" borderId="17" xfId="2" applyFont="1" applyFill="1" applyBorder="1"/>
    <xf numFmtId="44" fontId="37" fillId="0" borderId="2" xfId="2" applyFont="1" applyBorder="1"/>
    <xf numFmtId="44" fontId="40" fillId="0" borderId="2" xfId="0" applyNumberFormat="1" applyFont="1" applyFill="1" applyBorder="1"/>
    <xf numFmtId="0" fontId="34" fillId="0" borderId="0" xfId="0" applyFont="1"/>
    <xf numFmtId="164" fontId="34" fillId="0" borderId="1" xfId="3" applyNumberFormat="1" applyFont="1" applyBorder="1"/>
    <xf numFmtId="44" fontId="10" fillId="0" borderId="1" xfId="2" applyFont="1" applyBorder="1"/>
    <xf numFmtId="44" fontId="10" fillId="0" borderId="0" xfId="2" applyFont="1" applyFill="1" applyBorder="1"/>
    <xf numFmtId="164" fontId="34" fillId="0" borderId="0" xfId="3" applyNumberFormat="1" applyFont="1" applyBorder="1"/>
    <xf numFmtId="164" fontId="6" fillId="0" borderId="0" xfId="1" applyNumberFormat="1" applyFont="1" applyBorder="1"/>
    <xf numFmtId="44" fontId="10" fillId="0" borderId="18" xfId="2" applyFont="1" applyBorder="1"/>
    <xf numFmtId="44" fontId="10" fillId="0" borderId="19" xfId="2" applyFont="1" applyBorder="1"/>
    <xf numFmtId="44" fontId="10" fillId="0" borderId="20" xfId="0" applyNumberFormat="1" applyFont="1" applyFill="1" applyBorder="1"/>
    <xf numFmtId="44" fontId="10" fillId="2" borderId="19" xfId="2" applyFont="1" applyFill="1" applyBorder="1"/>
    <xf numFmtId="44" fontId="10" fillId="0" borderId="7" xfId="2" applyFont="1" applyBorder="1"/>
    <xf numFmtId="44" fontId="10" fillId="0" borderId="20" xfId="2" applyFont="1" applyBorder="1"/>
    <xf numFmtId="164" fontId="34" fillId="0" borderId="8" xfId="3" applyNumberFormat="1" applyFont="1" applyBorder="1"/>
    <xf numFmtId="44" fontId="40" fillId="2" borderId="2" xfId="2" applyFont="1" applyFill="1" applyBorder="1"/>
    <xf numFmtId="44" fontId="6" fillId="0" borderId="0" xfId="2" applyFont="1"/>
    <xf numFmtId="44" fontId="34" fillId="0" borderId="21" xfId="2" applyFont="1" applyBorder="1"/>
    <xf numFmtId="164" fontId="34" fillId="0" borderId="11" xfId="3" applyNumberFormat="1" applyFont="1" applyBorder="1"/>
    <xf numFmtId="44" fontId="10" fillId="0" borderId="22" xfId="2" applyFont="1" applyBorder="1"/>
    <xf numFmtId="44" fontId="10" fillId="0" borderId="15" xfId="2" applyFont="1" applyBorder="1"/>
    <xf numFmtId="44" fontId="10" fillId="0" borderId="16" xfId="2" applyFont="1" applyBorder="1"/>
    <xf numFmtId="164" fontId="34" fillId="0" borderId="15" xfId="3" applyNumberFormat="1" applyFont="1" applyBorder="1"/>
    <xf numFmtId="44" fontId="34" fillId="0" borderId="9" xfId="2" applyFont="1" applyBorder="1"/>
    <xf numFmtId="44" fontId="37" fillId="0" borderId="23" xfId="2" applyFont="1" applyBorder="1"/>
    <xf numFmtId="44" fontId="39" fillId="0" borderId="8" xfId="0" applyNumberFormat="1" applyFont="1" applyFill="1" applyBorder="1"/>
    <xf numFmtId="44" fontId="40" fillId="2" borderId="8" xfId="2" applyFont="1" applyFill="1" applyBorder="1"/>
    <xf numFmtId="44" fontId="6" fillId="0" borderId="7" xfId="2" applyFont="1" applyBorder="1"/>
    <xf numFmtId="44" fontId="34" fillId="0" borderId="8" xfId="2" applyFont="1" applyBorder="1"/>
    <xf numFmtId="44" fontId="6" fillId="0" borderId="9" xfId="2" applyFont="1" applyBorder="1"/>
    <xf numFmtId="44" fontId="10" fillId="0" borderId="8" xfId="2" applyFont="1" applyBorder="1"/>
    <xf numFmtId="44" fontId="10" fillId="0" borderId="24" xfId="2" applyFont="1" applyBorder="1"/>
    <xf numFmtId="44" fontId="10" fillId="0" borderId="26" xfId="2" applyFont="1" applyBorder="1"/>
    <xf numFmtId="44" fontId="10" fillId="0" borderId="27" xfId="0" applyNumberFormat="1" applyFont="1" applyFill="1" applyBorder="1"/>
    <xf numFmtId="44" fontId="10" fillId="2" borderId="26" xfId="2" applyFont="1" applyFill="1" applyBorder="1"/>
    <xf numFmtId="44" fontId="10" fillId="0" borderId="25" xfId="2" applyFont="1" applyFill="1" applyBorder="1"/>
    <xf numFmtId="44" fontId="10" fillId="0" borderId="26" xfId="2" applyFont="1" applyFill="1" applyBorder="1"/>
    <xf numFmtId="164" fontId="34" fillId="0" borderId="26" xfId="3" applyNumberFormat="1" applyFont="1" applyBorder="1"/>
    <xf numFmtId="44" fontId="37" fillId="0" borderId="0" xfId="2" applyFont="1" applyBorder="1"/>
    <xf numFmtId="44" fontId="35" fillId="2" borderId="2" xfId="2" applyFont="1" applyFill="1" applyBorder="1"/>
    <xf numFmtId="44" fontId="35" fillId="0" borderId="2" xfId="2" applyFont="1" applyBorder="1"/>
    <xf numFmtId="44" fontId="10" fillId="0" borderId="13" xfId="0" applyNumberFormat="1" applyFont="1" applyFill="1" applyBorder="1"/>
    <xf numFmtId="44" fontId="42" fillId="0" borderId="2" xfId="2" applyFont="1" applyBorder="1"/>
    <xf numFmtId="44" fontId="6" fillId="0" borderId="8" xfId="2" applyFont="1" applyBorder="1"/>
    <xf numFmtId="44" fontId="35" fillId="0" borderId="8" xfId="0" applyNumberFormat="1" applyFont="1" applyFill="1" applyBorder="1"/>
    <xf numFmtId="44" fontId="10" fillId="2" borderId="8" xfId="2" applyFont="1" applyFill="1" applyBorder="1"/>
    <xf numFmtId="44" fontId="37" fillId="0" borderId="8" xfId="2" applyFont="1" applyBorder="1"/>
    <xf numFmtId="44" fontId="6" fillId="0" borderId="24" xfId="2" applyFont="1" applyBorder="1"/>
    <xf numFmtId="44" fontId="6" fillId="0" borderId="26" xfId="2" applyFont="1" applyBorder="1"/>
    <xf numFmtId="44" fontId="35" fillId="0" borderId="26" xfId="0" applyNumberFormat="1" applyFont="1" applyFill="1" applyBorder="1"/>
    <xf numFmtId="44" fontId="37" fillId="0" borderId="26" xfId="2" applyFont="1" applyBorder="1"/>
    <xf numFmtId="44" fontId="10" fillId="0" borderId="25" xfId="2" applyFont="1" applyBorder="1"/>
    <xf numFmtId="164" fontId="10" fillId="0" borderId="24" xfId="3" applyNumberFormat="1" applyFont="1" applyBorder="1"/>
    <xf numFmtId="44" fontId="34" fillId="0" borderId="24" xfId="2" applyFont="1" applyBorder="1"/>
    <xf numFmtId="44" fontId="10" fillId="0" borderId="26" xfId="0" applyNumberFormat="1" applyFont="1" applyFill="1" applyBorder="1"/>
    <xf numFmtId="44" fontId="34" fillId="0" borderId="0" xfId="2" applyFont="1" applyFill="1" applyBorder="1"/>
    <xf numFmtId="44" fontId="35" fillId="0" borderId="0" xfId="0" applyNumberFormat="1" applyFont="1" applyFill="1" applyBorder="1"/>
    <xf numFmtId="44" fontId="35" fillId="0" borderId="0" xfId="2" applyFont="1" applyFill="1" applyBorder="1"/>
    <xf numFmtId="44" fontId="6" fillId="0" borderId="0" xfId="2" applyFont="1" applyFill="1" applyBorder="1"/>
    <xf numFmtId="44" fontId="34" fillId="0" borderId="0" xfId="2" applyFont="1" applyBorder="1" applyAlignment="1">
      <alignment horizontal="left"/>
    </xf>
    <xf numFmtId="44" fontId="10" fillId="0" borderId="5" xfId="2" applyFont="1" applyBorder="1" applyAlignment="1">
      <alignment horizontal="left"/>
    </xf>
    <xf numFmtId="44" fontId="34" fillId="0" borderId="0" xfId="2" applyFont="1" applyAlignment="1">
      <alignment horizontal="left"/>
    </xf>
    <xf numFmtId="44" fontId="34" fillId="0" borderId="11" xfId="2" applyFont="1" applyBorder="1" applyAlignment="1">
      <alignment horizontal="left"/>
    </xf>
    <xf numFmtId="44" fontId="10" fillId="0" borderId="0" xfId="2" applyFont="1" applyAlignment="1">
      <alignment horizontal="left"/>
    </xf>
    <xf numFmtId="0" fontId="34" fillId="0" borderId="0" xfId="0" applyFont="1" applyAlignment="1">
      <alignment horizontal="left"/>
    </xf>
    <xf numFmtId="44" fontId="10" fillId="0" borderId="18" xfId="2" applyFont="1" applyBorder="1" applyAlignment="1">
      <alignment horizontal="left"/>
    </xf>
    <xf numFmtId="44" fontId="10" fillId="0" borderId="22" xfId="2" applyFont="1" applyBorder="1" applyAlignment="1">
      <alignment horizontal="left"/>
    </xf>
    <xf numFmtId="44" fontId="34" fillId="0" borderId="9" xfId="2" applyFont="1" applyBorder="1" applyAlignment="1">
      <alignment horizontal="left"/>
    </xf>
    <xf numFmtId="44" fontId="10" fillId="0" borderId="0" xfId="2" applyFont="1" applyBorder="1" applyAlignment="1">
      <alignment horizontal="left"/>
    </xf>
    <xf numFmtId="44" fontId="10" fillId="0" borderId="24" xfId="2" applyFont="1" applyBorder="1" applyAlignment="1">
      <alignment horizontal="left"/>
    </xf>
    <xf numFmtId="44" fontId="6" fillId="0" borderId="0" xfId="2" applyFont="1" applyAlignment="1">
      <alignment horizontal="left"/>
    </xf>
    <xf numFmtId="44" fontId="6" fillId="0" borderId="0" xfId="2" applyFont="1" applyBorder="1" applyAlignment="1">
      <alignment horizontal="left"/>
    </xf>
    <xf numFmtId="44" fontId="6" fillId="0" borderId="9" xfId="2" applyFont="1" applyBorder="1" applyAlignment="1">
      <alignment horizontal="left"/>
    </xf>
    <xf numFmtId="44" fontId="6" fillId="0" borderId="0" xfId="2" applyFont="1" applyBorder="1" applyAlignment="1">
      <alignment horizontal="left" vertical="center"/>
    </xf>
    <xf numFmtId="44" fontId="6" fillId="0" borderId="24" xfId="2" applyFont="1" applyBorder="1" applyAlignment="1">
      <alignment horizontal="left"/>
    </xf>
    <xf numFmtId="44" fontId="34" fillId="0" borderId="24" xfId="2" applyFont="1" applyBorder="1" applyAlignment="1">
      <alignment horizontal="left"/>
    </xf>
    <xf numFmtId="44" fontId="34" fillId="0" borderId="0" xfId="2" applyFont="1" applyFill="1" applyBorder="1" applyAlignment="1">
      <alignment horizontal="left"/>
    </xf>
    <xf numFmtId="15" fontId="10" fillId="0" borderId="8" xfId="2" applyNumberFormat="1" applyFont="1" applyFill="1" applyBorder="1" applyAlignment="1">
      <alignment horizontal="center"/>
    </xf>
    <xf numFmtId="15" fontId="10" fillId="0" borderId="9" xfId="2" applyNumberFormat="1" applyFont="1" applyBorder="1" applyAlignment="1">
      <alignment horizontal="center"/>
    </xf>
    <xf numFmtId="44" fontId="43" fillId="0" borderId="0" xfId="2" applyFont="1" applyBorder="1" applyAlignment="1">
      <alignment horizontal="center"/>
    </xf>
    <xf numFmtId="44" fontId="34" fillId="0" borderId="7" xfId="2" applyFont="1" applyBorder="1"/>
    <xf numFmtId="44" fontId="10" fillId="0" borderId="3" xfId="0" applyNumberFormat="1" applyFont="1" applyFill="1" applyBorder="1"/>
    <xf numFmtId="44" fontId="10" fillId="0" borderId="3" xfId="2" applyFont="1" applyBorder="1"/>
    <xf numFmtId="44" fontId="6" fillId="0" borderId="24" xfId="2" applyFont="1" applyBorder="1"/>
    <xf numFmtId="44" fontId="6" fillId="0" borderId="24" xfId="2" applyFont="1" applyBorder="1"/>
    <xf numFmtId="44" fontId="10" fillId="0" borderId="5" xfId="2" applyFont="1" applyBorder="1"/>
    <xf numFmtId="44" fontId="37" fillId="0" borderId="10" xfId="2" applyFont="1" applyBorder="1"/>
    <xf numFmtId="44" fontId="6" fillId="0" borderId="0" xfId="2" applyFont="1" applyBorder="1" applyAlignment="1">
      <alignment vertical="center"/>
    </xf>
    <xf numFmtId="164" fontId="10" fillId="0" borderId="25" xfId="3" applyNumberFormat="1" applyFont="1" applyBorder="1"/>
    <xf numFmtId="44" fontId="10" fillId="0" borderId="8" xfId="0" applyNumberFormat="1" applyFont="1" applyFill="1" applyBorder="1"/>
    <xf numFmtId="44" fontId="44" fillId="0" borderId="0" xfId="2" applyFont="1"/>
    <xf numFmtId="164" fontId="34" fillId="0" borderId="10" xfId="3" applyNumberFormat="1" applyFont="1" applyBorder="1"/>
    <xf numFmtId="164" fontId="6" fillId="0" borderId="10" xfId="3" applyNumberFormat="1" applyFont="1" applyBorder="1"/>
    <xf numFmtId="164" fontId="6" fillId="0" borderId="2" xfId="3" applyNumberFormat="1" applyFont="1" applyBorder="1"/>
    <xf numFmtId="164" fontId="6" fillId="0" borderId="8" xfId="3" applyNumberFormat="1" applyFont="1" applyBorder="1"/>
    <xf numFmtId="164" fontId="6" fillId="0" borderId="26" xfId="3" applyNumberFormat="1" applyFont="1" applyBorder="1"/>
    <xf numFmtId="164" fontId="10" fillId="0" borderId="26" xfId="3" applyNumberFormat="1" applyFont="1" applyBorder="1"/>
    <xf numFmtId="164" fontId="10" fillId="0" borderId="2" xfId="3" applyNumberFormat="1" applyFont="1" applyBorder="1" applyAlignment="1">
      <alignment horizontal="center" vertical="center"/>
    </xf>
    <xf numFmtId="164" fontId="10" fillId="0" borderId="8" xfId="3" applyNumberFormat="1" applyFont="1" applyBorder="1" applyAlignment="1">
      <alignment horizontal="center" vertical="center"/>
    </xf>
    <xf numFmtId="44" fontId="6" fillId="0" borderId="27" xfId="2" applyFont="1" applyBorder="1"/>
    <xf numFmtId="44" fontId="6" fillId="0" borderId="24" xfId="2" applyFont="1" applyBorder="1"/>
    <xf numFmtId="44" fontId="6" fillId="0" borderId="25" xfId="2" applyFont="1" applyBorder="1"/>
    <xf numFmtId="164" fontId="10" fillId="0" borderId="1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mao/Downloads/ASOR%20Net%20Investment%20Report%20F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10"/>
      <sheetName val="May 2010"/>
      <sheetName val="April 2010"/>
      <sheetName val="March 2010"/>
      <sheetName val="February 2010"/>
      <sheetName val="January 2010"/>
      <sheetName val="December 2009"/>
      <sheetName val="November, 2009"/>
      <sheetName val="October 2009"/>
      <sheetName val="September 2009"/>
      <sheetName val="August 2009"/>
      <sheetName val="July 2009"/>
      <sheetName val="June 2009"/>
      <sheetName val="Citizens Savings Detail"/>
      <sheetName val="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3">
          <cell r="K23">
            <v>90485.305989999993</v>
          </cell>
        </row>
        <row r="30">
          <cell r="K30">
            <v>48843.529900000001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1E6D-4355-F746-A5DA-2B176B6D750E}">
  <dimension ref="A1:Q58"/>
  <sheetViews>
    <sheetView topLeftCell="A22" workbookViewId="0">
      <selection activeCell="C19" sqref="C19"/>
    </sheetView>
  </sheetViews>
  <sheetFormatPr baseColWidth="10" defaultRowHeight="16"/>
  <cols>
    <col min="2" max="2" width="46.5" bestFit="1" customWidth="1"/>
    <col min="3" max="9" width="14" bestFit="1" customWidth="1"/>
    <col min="11" max="11" width="11.83203125" bestFit="1" customWidth="1"/>
    <col min="12" max="12" width="12.6640625" bestFit="1" customWidth="1"/>
  </cols>
  <sheetData>
    <row r="1" spans="1:17" s="8" customFormat="1" ht="17" thickBot="1">
      <c r="B1" s="12"/>
      <c r="C1" s="3"/>
      <c r="D1" s="13"/>
      <c r="E1" s="14"/>
      <c r="F1" s="15" t="s">
        <v>0</v>
      </c>
      <c r="G1" s="16" t="s">
        <v>1</v>
      </c>
      <c r="H1" s="16" t="s">
        <v>2</v>
      </c>
      <c r="J1" s="3"/>
      <c r="K1" s="9"/>
      <c r="L1" s="183" t="s">
        <v>50</v>
      </c>
      <c r="M1" s="185" t="s">
        <v>50</v>
      </c>
      <c r="N1" s="17" t="s">
        <v>3</v>
      </c>
    </row>
    <row r="2" spans="1:17" s="30" customFormat="1" ht="18" customHeight="1" thickTop="1" thickBot="1">
      <c r="A2" s="18" t="s">
        <v>52</v>
      </c>
      <c r="B2" s="19"/>
      <c r="C2" s="21">
        <v>38898</v>
      </c>
      <c r="D2" s="22">
        <v>40359</v>
      </c>
      <c r="E2" s="23">
        <v>42185</v>
      </c>
      <c r="F2" s="22">
        <v>43281</v>
      </c>
      <c r="G2" s="24">
        <v>43646</v>
      </c>
      <c r="H2" s="24">
        <v>43738</v>
      </c>
      <c r="I2" s="25" t="s">
        <v>4</v>
      </c>
      <c r="J2" s="26" t="s">
        <v>5</v>
      </c>
      <c r="K2" s="27" t="s">
        <v>6</v>
      </c>
      <c r="L2" s="184" t="s">
        <v>51</v>
      </c>
      <c r="M2" s="186" t="s">
        <v>7</v>
      </c>
      <c r="N2" s="28" t="s">
        <v>8</v>
      </c>
      <c r="O2" s="29" t="s">
        <v>9</v>
      </c>
    </row>
    <row r="3" spans="1:17" s="1" customFormat="1" ht="17" thickTop="1">
      <c r="B3" s="1" t="s">
        <v>10</v>
      </c>
      <c r="C3" s="3">
        <v>107880.5</v>
      </c>
      <c r="D3" s="4">
        <v>42740.85</v>
      </c>
      <c r="E3" s="32">
        <v>68736.680000000008</v>
      </c>
      <c r="F3" s="31">
        <f>180.73*75.358</f>
        <v>13619.45134</v>
      </c>
      <c r="G3" s="33">
        <v>0</v>
      </c>
      <c r="H3" s="33"/>
      <c r="I3" s="9"/>
      <c r="J3" s="3"/>
      <c r="K3" s="35"/>
      <c r="L3" s="36">
        <f>I3-J3+K3</f>
        <v>0</v>
      </c>
      <c r="M3" s="34"/>
      <c r="N3" s="37"/>
      <c r="O3" s="181">
        <v>5.0000000000000001E-3</v>
      </c>
    </row>
    <row r="4" spans="1:17" s="38" customFormat="1">
      <c r="B4" s="38" t="s">
        <v>11</v>
      </c>
      <c r="C4" s="39"/>
      <c r="D4" s="4">
        <v>57541.57</v>
      </c>
      <c r="E4" s="32">
        <v>85630.99</v>
      </c>
      <c r="F4" s="31">
        <f>130901.36-79</f>
        <v>130822.36</v>
      </c>
      <c r="G4" s="33">
        <v>141779.75</v>
      </c>
      <c r="H4" s="33">
        <v>141473.91</v>
      </c>
      <c r="I4" s="41">
        <f t="shared" ref="I4:I31" si="0">H4-G4</f>
        <v>-305.83999999999651</v>
      </c>
      <c r="J4" s="42"/>
      <c r="K4" s="43">
        <f>1747</f>
        <v>1747</v>
      </c>
      <c r="L4" s="44">
        <f>I4-J4+K4</f>
        <v>1441.1600000000035</v>
      </c>
      <c r="M4" s="45">
        <f>L4/G4</f>
        <v>1.0164780231309503E-2</v>
      </c>
      <c r="N4" s="46"/>
      <c r="O4" s="9"/>
      <c r="P4" s="8"/>
      <c r="Q4" s="8"/>
    </row>
    <row r="5" spans="1:17" s="47" customFormat="1">
      <c r="A5" s="47" t="s">
        <v>12</v>
      </c>
      <c r="B5" s="47" t="s">
        <v>13</v>
      </c>
      <c r="C5" s="48"/>
      <c r="D5" s="49">
        <f>SUM(D3:D4)</f>
        <v>100282.42</v>
      </c>
      <c r="E5" s="50">
        <v>154367.67000000001</v>
      </c>
      <c r="F5" s="49">
        <f t="shared" ref="F5" si="1">SUM(F3:F4)</f>
        <v>144441.81134000001</v>
      </c>
      <c r="G5" s="51">
        <f>SUM(G3:G4)</f>
        <v>141779.75</v>
      </c>
      <c r="H5" s="51">
        <f>SUM(H3:H4)</f>
        <v>141473.91</v>
      </c>
      <c r="I5" s="9">
        <f t="shared" si="0"/>
        <v>-305.83999999999651</v>
      </c>
      <c r="J5" s="10">
        <f t="shared" ref="J5:L5" si="2">SUM(J3:J4)</f>
        <v>0</v>
      </c>
      <c r="K5" s="52">
        <f t="shared" si="2"/>
        <v>1747</v>
      </c>
      <c r="L5" s="10">
        <f t="shared" si="2"/>
        <v>1441.1600000000035</v>
      </c>
      <c r="M5" s="53">
        <f t="shared" ref="M5:M33" si="3">L5/G5</f>
        <v>1.0164780231309503E-2</v>
      </c>
      <c r="N5" s="37">
        <f>O3</f>
        <v>5.0000000000000001E-3</v>
      </c>
      <c r="O5" s="54"/>
      <c r="P5" s="52"/>
      <c r="Q5" s="52"/>
    </row>
    <row r="6" spans="1:17" s="1" customFormat="1">
      <c r="C6" s="3"/>
      <c r="D6" s="55"/>
      <c r="E6" s="57"/>
      <c r="F6" s="56"/>
      <c r="G6" s="58"/>
      <c r="H6" s="58"/>
      <c r="I6" s="9">
        <f t="shared" si="0"/>
        <v>0</v>
      </c>
      <c r="J6" s="3"/>
      <c r="K6" s="9"/>
      <c r="L6" s="10"/>
      <c r="M6" s="53"/>
      <c r="N6" s="37"/>
      <c r="O6" s="59"/>
      <c r="P6" s="8"/>
      <c r="Q6" s="8"/>
    </row>
    <row r="7" spans="1:17" s="1" customFormat="1">
      <c r="B7" s="2" t="s">
        <v>14</v>
      </c>
      <c r="C7" s="2">
        <v>243337.69</v>
      </c>
      <c r="D7" s="4">
        <v>98803.3</v>
      </c>
      <c r="E7" s="32">
        <v>128325.54</v>
      </c>
      <c r="F7" s="60">
        <f>142.477*180.73</f>
        <v>25749.868210000001</v>
      </c>
      <c r="G7" s="61">
        <v>0</v>
      </c>
      <c r="H7" s="61"/>
      <c r="I7" s="9">
        <f t="shared" si="0"/>
        <v>0</v>
      </c>
      <c r="J7" s="3">
        <v>0</v>
      </c>
      <c r="K7" s="35"/>
      <c r="L7" s="36">
        <f>I7-J7+K7</f>
        <v>0</v>
      </c>
      <c r="M7" s="53"/>
      <c r="N7" s="37"/>
      <c r="O7" s="59"/>
      <c r="P7" s="8"/>
      <c r="Q7" s="8"/>
    </row>
    <row r="8" spans="1:17" s="38" customFormat="1">
      <c r="B8" s="38" t="s">
        <v>15</v>
      </c>
      <c r="C8" s="40"/>
      <c r="D8" s="4">
        <v>106514.53</v>
      </c>
      <c r="E8" s="32">
        <v>158702.09</v>
      </c>
      <c r="F8" s="31">
        <f>235289.69-143</f>
        <v>235146.69</v>
      </c>
      <c r="G8" s="33">
        <v>252755.25</v>
      </c>
      <c r="H8" s="62">
        <v>251286.06</v>
      </c>
      <c r="I8" s="41">
        <f t="shared" si="0"/>
        <v>-1469.1900000000023</v>
      </c>
      <c r="J8" s="42"/>
      <c r="K8" s="43">
        <f>3778</f>
        <v>3778</v>
      </c>
      <c r="L8" s="44">
        <f>I8-J8+K8</f>
        <v>2308.8099999999977</v>
      </c>
      <c r="M8" s="45">
        <f t="shared" si="3"/>
        <v>9.1345679268778693E-3</v>
      </c>
      <c r="N8" s="46"/>
      <c r="O8" s="63"/>
      <c r="P8" s="8"/>
      <c r="Q8" s="8"/>
    </row>
    <row r="9" spans="1:17" s="47" customFormat="1">
      <c r="A9" s="47" t="s">
        <v>16</v>
      </c>
      <c r="B9" s="47" t="s">
        <v>17</v>
      </c>
      <c r="C9" s="10"/>
      <c r="D9" s="49">
        <f>SUM(D7:D8)</f>
        <v>205317.83000000002</v>
      </c>
      <c r="E9" s="50">
        <v>287027.63</v>
      </c>
      <c r="F9" s="49">
        <f t="shared" ref="F9" si="4">SUM(F7:F8)</f>
        <v>260896.55820999999</v>
      </c>
      <c r="G9" s="51">
        <f>SUM(G7:G8)</f>
        <v>252755.25</v>
      </c>
      <c r="H9" s="64">
        <f>SUM(H7:H8)</f>
        <v>251286.06</v>
      </c>
      <c r="I9" s="9">
        <f t="shared" si="0"/>
        <v>-1469.1900000000023</v>
      </c>
      <c r="J9" s="10">
        <f>SUM(J7:J8)</f>
        <v>0</v>
      </c>
      <c r="K9" s="52">
        <f t="shared" ref="K9:L9" si="5">SUM(K7:K8)</f>
        <v>3778</v>
      </c>
      <c r="L9" s="10">
        <f t="shared" si="5"/>
        <v>2308.8099999999977</v>
      </c>
      <c r="M9" s="53">
        <f t="shared" si="3"/>
        <v>9.1345679268778693E-3</v>
      </c>
      <c r="N9" s="37">
        <f>O3</f>
        <v>5.0000000000000001E-3</v>
      </c>
    </row>
    <row r="10" spans="1:17" s="1" customFormat="1">
      <c r="C10" s="65"/>
      <c r="D10" s="67"/>
      <c r="E10" s="69"/>
      <c r="F10" s="68"/>
      <c r="G10" s="70"/>
      <c r="H10" s="70"/>
      <c r="I10" s="9">
        <f t="shared" si="0"/>
        <v>0</v>
      </c>
      <c r="J10" s="66"/>
      <c r="K10" s="71"/>
      <c r="L10" s="10"/>
      <c r="M10" s="53"/>
      <c r="N10" s="37"/>
    </row>
    <row r="11" spans="1:17" s="47" customFormat="1">
      <c r="A11" s="47" t="s">
        <v>18</v>
      </c>
      <c r="B11" s="47" t="s">
        <v>19</v>
      </c>
      <c r="C11" s="10">
        <v>34391.75</v>
      </c>
      <c r="D11" s="31">
        <v>38484.42</v>
      </c>
      <c r="E11" s="32">
        <v>81631.039999999994</v>
      </c>
      <c r="F11" s="31">
        <f>87489.7-47.7</f>
        <v>87442</v>
      </c>
      <c r="G11" s="33">
        <v>85839.66</v>
      </c>
      <c r="H11" s="33">
        <v>85684.28</v>
      </c>
      <c r="I11" s="9">
        <f t="shared" si="0"/>
        <v>-155.38000000000466</v>
      </c>
      <c r="J11" s="10"/>
      <c r="K11" s="52">
        <f>1058</f>
        <v>1058</v>
      </c>
      <c r="L11" s="10">
        <f>I11-J11+K11</f>
        <v>902.61999999999534</v>
      </c>
      <c r="M11" s="53">
        <f t="shared" si="3"/>
        <v>1.0515186103952362E-2</v>
      </c>
      <c r="N11" s="37">
        <f>O3</f>
        <v>5.0000000000000001E-3</v>
      </c>
    </row>
    <row r="12" spans="1:17" s="47" customFormat="1">
      <c r="C12" s="10"/>
      <c r="D12" s="31"/>
      <c r="E12" s="32"/>
      <c r="F12" s="31"/>
      <c r="G12" s="33"/>
      <c r="H12" s="33"/>
      <c r="I12" s="9"/>
      <c r="J12" s="10"/>
      <c r="K12" s="52"/>
      <c r="L12" s="10"/>
      <c r="M12" s="53"/>
      <c r="N12" s="37"/>
    </row>
    <row r="13" spans="1:17" s="47" customFormat="1">
      <c r="A13" s="47" t="s">
        <v>20</v>
      </c>
      <c r="B13" s="47" t="s">
        <v>21</v>
      </c>
      <c r="C13" s="10"/>
      <c r="D13" s="72"/>
      <c r="E13" s="32">
        <v>120636.46</v>
      </c>
      <c r="F13" s="31">
        <f>151210.68-82.68</f>
        <v>151128</v>
      </c>
      <c r="G13" s="33">
        <v>150250.49</v>
      </c>
      <c r="H13" s="33">
        <v>150015.31</v>
      </c>
      <c r="I13" s="9">
        <f t="shared" si="0"/>
        <v>-235.17999999999302</v>
      </c>
      <c r="J13" s="10"/>
      <c r="K13" s="52">
        <f>1817</f>
        <v>1817</v>
      </c>
      <c r="L13" s="10">
        <f>I13-J13+K13</f>
        <v>1581.820000000007</v>
      </c>
      <c r="M13" s="53">
        <f t="shared" si="3"/>
        <v>1.0527885799241035E-2</v>
      </c>
      <c r="N13" s="37">
        <f>O3</f>
        <v>5.0000000000000001E-3</v>
      </c>
    </row>
    <row r="14" spans="1:17">
      <c r="B14" s="182"/>
      <c r="C14" s="73"/>
      <c r="E14" s="74"/>
      <c r="F14" s="75"/>
      <c r="G14" s="76"/>
      <c r="H14" s="76"/>
      <c r="I14" s="36"/>
      <c r="K14" s="77"/>
      <c r="L14" s="73"/>
      <c r="M14" s="53"/>
      <c r="N14" s="78"/>
    </row>
    <row r="15" spans="1:17" s="47" customFormat="1">
      <c r="A15" s="47" t="s">
        <v>22</v>
      </c>
      <c r="B15" s="47" t="s">
        <v>23</v>
      </c>
      <c r="C15" s="10"/>
      <c r="D15" s="31"/>
      <c r="E15" s="32">
        <v>51112.78</v>
      </c>
      <c r="F15" s="31">
        <f>117801.18+250</f>
        <v>118051.18</v>
      </c>
      <c r="G15" s="33">
        <v>118927.03</v>
      </c>
      <c r="H15" s="33">
        <v>118948.93</v>
      </c>
      <c r="I15" s="9">
        <f t="shared" si="0"/>
        <v>21.899999999994179</v>
      </c>
      <c r="J15" s="36"/>
      <c r="K15" s="52">
        <f>1230</f>
        <v>1230</v>
      </c>
      <c r="L15" s="10">
        <f>I15-J15+K15</f>
        <v>1251.8999999999942</v>
      </c>
      <c r="M15" s="53">
        <f t="shared" si="3"/>
        <v>1.0526622921635176E-2</v>
      </c>
      <c r="N15" s="37">
        <f>O3</f>
        <v>5.0000000000000001E-3</v>
      </c>
    </row>
    <row r="16" spans="1:17" s="47" customFormat="1">
      <c r="C16" s="10"/>
      <c r="D16" s="31"/>
      <c r="E16" s="32"/>
      <c r="F16" s="31"/>
      <c r="G16" s="33"/>
      <c r="H16" s="33"/>
      <c r="I16" s="9"/>
      <c r="J16" s="10"/>
      <c r="K16" s="52"/>
      <c r="L16" s="10"/>
      <c r="M16" s="53"/>
      <c r="N16" s="37"/>
    </row>
    <row r="17" spans="1:15" s="47" customFormat="1">
      <c r="A17" s="47" t="s">
        <v>24</v>
      </c>
      <c r="B17" s="47" t="s">
        <v>25</v>
      </c>
      <c r="C17" s="10"/>
      <c r="D17" s="31"/>
      <c r="E17" s="32">
        <v>56403.78</v>
      </c>
      <c r="F17" s="31">
        <v>160539.82999999999</v>
      </c>
      <c r="G17" s="33">
        <v>168629.77</v>
      </c>
      <c r="H17" s="33">
        <v>168572.21</v>
      </c>
      <c r="I17" s="9">
        <f t="shared" si="0"/>
        <v>-57.559999999997672</v>
      </c>
      <c r="J17" s="36"/>
      <c r="K17" s="52">
        <f>1834</f>
        <v>1834</v>
      </c>
      <c r="L17" s="10">
        <f>I17-J17+K17</f>
        <v>1776.4400000000023</v>
      </c>
      <c r="M17" s="53">
        <f t="shared" si="3"/>
        <v>1.0534557450917489E-2</v>
      </c>
      <c r="N17" s="37">
        <f>O3</f>
        <v>5.0000000000000001E-3</v>
      </c>
      <c r="O17" s="79"/>
    </row>
    <row r="18" spans="1:15" s="47" customFormat="1">
      <c r="C18" s="10"/>
      <c r="D18" s="31"/>
      <c r="E18" s="32"/>
      <c r="F18" s="31"/>
      <c r="G18" s="33"/>
      <c r="H18" s="33"/>
      <c r="I18" s="9"/>
      <c r="J18" s="10"/>
      <c r="K18" s="52"/>
      <c r="L18" s="10"/>
      <c r="M18" s="53"/>
      <c r="N18" s="37"/>
    </row>
    <row r="19" spans="1:15" s="47" customFormat="1">
      <c r="A19" s="47" t="s">
        <v>26</v>
      </c>
      <c r="B19" s="47" t="s">
        <v>56</v>
      </c>
      <c r="C19" s="10"/>
      <c r="D19" s="31"/>
      <c r="E19" s="32"/>
      <c r="F19" s="31">
        <f>63028.01+150</f>
        <v>63178.01</v>
      </c>
      <c r="G19" s="33">
        <v>62612.83</v>
      </c>
      <c r="H19" s="33">
        <v>62539.89</v>
      </c>
      <c r="I19" s="9">
        <f t="shared" si="0"/>
        <v>-72.940000000002328</v>
      </c>
      <c r="J19" s="10"/>
      <c r="K19" s="52">
        <f>732</f>
        <v>732</v>
      </c>
      <c r="L19" s="10">
        <f>I19-J19+K19</f>
        <v>659.05999999999767</v>
      </c>
      <c r="M19" s="53">
        <f t="shared" si="3"/>
        <v>1.0525957699084959E-2</v>
      </c>
      <c r="N19" s="37">
        <f>O3</f>
        <v>5.0000000000000001E-3</v>
      </c>
      <c r="O19" s="80"/>
    </row>
    <row r="20" spans="1:15" s="47" customFormat="1">
      <c r="C20" s="10"/>
      <c r="D20" s="31"/>
      <c r="E20" s="32"/>
      <c r="F20" s="31"/>
      <c r="G20" s="33"/>
      <c r="H20" s="33"/>
      <c r="I20" s="9"/>
      <c r="J20" s="10"/>
      <c r="K20" s="52"/>
      <c r="L20" s="10"/>
      <c r="M20" s="53"/>
      <c r="N20" s="37"/>
      <c r="O20" s="80"/>
    </row>
    <row r="21" spans="1:15" s="47" customFormat="1">
      <c r="A21" s="47" t="s">
        <v>27</v>
      </c>
      <c r="B21" s="47" t="s">
        <v>28</v>
      </c>
      <c r="C21" s="10"/>
      <c r="D21" s="31"/>
      <c r="E21" s="32"/>
      <c r="F21" s="31">
        <v>0</v>
      </c>
      <c r="G21" s="33">
        <v>101237.75</v>
      </c>
      <c r="H21" s="33">
        <v>101040.52</v>
      </c>
      <c r="I21" s="9">
        <f t="shared" si="0"/>
        <v>-197.22999999999593</v>
      </c>
      <c r="J21" s="10"/>
      <c r="K21" s="52">
        <f>1261</f>
        <v>1261</v>
      </c>
      <c r="L21" s="10">
        <f>I21-J21+K21</f>
        <v>1063.7700000000041</v>
      </c>
      <c r="M21" s="81">
        <f t="shared" si="3"/>
        <v>1.0507641665287939E-2</v>
      </c>
      <c r="N21" s="37">
        <f>O3</f>
        <v>5.0000000000000001E-3</v>
      </c>
      <c r="O21" s="80"/>
    </row>
    <row r="22" spans="1:15" s="1" customFormat="1">
      <c r="C22" s="65"/>
      <c r="D22" s="82"/>
      <c r="E22" s="84"/>
      <c r="F22" s="83"/>
      <c r="G22" s="85"/>
      <c r="H22" s="86"/>
      <c r="I22" s="41"/>
      <c r="J22" s="65"/>
      <c r="K22" s="87"/>
      <c r="L22" s="10"/>
      <c r="M22" s="45"/>
      <c r="N22" s="188"/>
    </row>
    <row r="23" spans="1:15" s="88" customFormat="1" ht="17" thickBot="1">
      <c r="B23" s="89" t="s">
        <v>29</v>
      </c>
      <c r="C23" s="90">
        <f>SUM(C3:C22)</f>
        <v>385609.94</v>
      </c>
      <c r="D23" s="91">
        <f>D5+D9+D11</f>
        <v>344084.67</v>
      </c>
      <c r="E23" s="92">
        <v>751179.36</v>
      </c>
      <c r="F23" s="91">
        <f>F19+F17+F15+F13+F11+F9+F5</f>
        <v>985677.38954999996</v>
      </c>
      <c r="G23" s="93">
        <f>G21+G19+G17+G15+G13+G11+G9+G5</f>
        <v>1082032.53</v>
      </c>
      <c r="H23" s="93">
        <f>H5+H9+H11+H13+H15+H17+H19+H21</f>
        <v>1079561.1099999999</v>
      </c>
      <c r="I23" s="20">
        <f>H23-G23</f>
        <v>-2471.4200000001583</v>
      </c>
      <c r="J23" s="94">
        <f>J5+J9+J11+J13+J15+J17+J19+J21</f>
        <v>0</v>
      </c>
      <c r="K23" s="94">
        <f>K5+K9+K11+K13+K15+K17+K19+K21</f>
        <v>13457</v>
      </c>
      <c r="L23" s="90">
        <f>L5+L9+L11+L13+L15+L17+L19+L21</f>
        <v>10985.580000000002</v>
      </c>
      <c r="M23" s="95">
        <f t="shared" si="3"/>
        <v>1.0152726184673951E-2</v>
      </c>
      <c r="N23" s="189">
        <f>O3</f>
        <v>5.0000000000000001E-3</v>
      </c>
      <c r="O23" s="96"/>
    </row>
    <row r="24" spans="1:15" s="52" customFormat="1" ht="18" thickTop="1" thickBot="1">
      <c r="A24" s="97" t="s">
        <v>53</v>
      </c>
      <c r="B24" s="98"/>
      <c r="C24" s="10"/>
      <c r="D24" s="56"/>
      <c r="E24" s="57"/>
      <c r="F24" s="99"/>
      <c r="G24" s="100"/>
      <c r="H24" s="100"/>
      <c r="I24" s="9">
        <f t="shared" si="0"/>
        <v>0</v>
      </c>
      <c r="J24" s="10"/>
      <c r="L24" s="10"/>
      <c r="M24" s="101"/>
      <c r="N24" s="190"/>
    </row>
    <row r="25" spans="1:15" s="1" customFormat="1" ht="17" thickTop="1">
      <c r="C25" s="3"/>
      <c r="D25" s="55"/>
      <c r="E25" s="57"/>
      <c r="F25" s="99"/>
      <c r="G25" s="100"/>
      <c r="H25" s="100"/>
      <c r="I25" s="9">
        <f t="shared" si="0"/>
        <v>0</v>
      </c>
      <c r="J25" s="3"/>
      <c r="K25" s="9"/>
      <c r="L25" s="10"/>
      <c r="M25" s="53"/>
      <c r="N25" s="191"/>
      <c r="O25" s="102"/>
    </row>
    <row r="26" spans="1:15" s="1" customFormat="1">
      <c r="A26" s="1" t="s">
        <v>30</v>
      </c>
      <c r="B26" s="102" t="s">
        <v>57</v>
      </c>
      <c r="C26" s="3">
        <v>210866.85</v>
      </c>
      <c r="D26" s="4">
        <v>254060.28</v>
      </c>
      <c r="E26" s="32">
        <v>454092.35</v>
      </c>
      <c r="F26" s="31">
        <f>759174.06-437</f>
        <v>758737.06</v>
      </c>
      <c r="G26" s="33">
        <v>851524.87</v>
      </c>
      <c r="H26" s="33">
        <v>835755.9</v>
      </c>
      <c r="I26" s="36">
        <f t="shared" si="0"/>
        <v>-15768.969999999972</v>
      </c>
      <c r="J26" s="9"/>
      <c r="K26" s="3">
        <f>6820.94</f>
        <v>6820.94</v>
      </c>
      <c r="L26" s="10">
        <f>I26-J26+K26</f>
        <v>-8948.0299999999734</v>
      </c>
      <c r="M26" s="53">
        <f t="shared" si="3"/>
        <v>-1.0508242701120371E-2</v>
      </c>
      <c r="N26" s="191">
        <f>O3</f>
        <v>5.0000000000000001E-3</v>
      </c>
      <c r="O26" s="102"/>
    </row>
    <row r="27" spans="1:15" s="1" customFormat="1">
      <c r="B27" s="103" t="s">
        <v>31</v>
      </c>
      <c r="C27" s="2">
        <v>118222.79</v>
      </c>
      <c r="D27" s="4">
        <v>98875.520000000004</v>
      </c>
      <c r="E27" s="32">
        <v>221036.22</v>
      </c>
      <c r="F27" s="31">
        <f>180.73*303.422</f>
        <v>54837.458060000004</v>
      </c>
      <c r="G27" s="33">
        <v>0</v>
      </c>
      <c r="H27" s="33"/>
      <c r="I27" s="44">
        <f t="shared" si="0"/>
        <v>0</v>
      </c>
      <c r="J27" s="35"/>
      <c r="K27" s="36"/>
      <c r="L27" s="10">
        <f>I27-J27+K27</f>
        <v>0</v>
      </c>
      <c r="M27" s="104"/>
      <c r="N27" s="191"/>
      <c r="O27" s="102"/>
    </row>
    <row r="28" spans="1:15" s="105" customFormat="1">
      <c r="B28" s="106" t="s">
        <v>54</v>
      </c>
      <c r="C28" s="107">
        <f>SUM(C26:C27)</f>
        <v>329089.64</v>
      </c>
      <c r="D28" s="49">
        <f>SUM(D26:D27)</f>
        <v>352935.8</v>
      </c>
      <c r="E28" s="50">
        <v>675128.56999999983</v>
      </c>
      <c r="F28" s="49">
        <f t="shared" ref="F28" si="6">SUM(F26:F27)</f>
        <v>813574.51806000003</v>
      </c>
      <c r="G28" s="51">
        <f>SUM(G26:G27)</f>
        <v>851524.87</v>
      </c>
      <c r="H28" s="51">
        <f>H26</f>
        <v>835755.9</v>
      </c>
      <c r="I28" s="36">
        <f t="shared" si="0"/>
        <v>-15768.969999999972</v>
      </c>
      <c r="J28" s="105">
        <f t="shared" ref="J28:K28" si="7">SUM(J26:J27)</f>
        <v>0</v>
      </c>
      <c r="K28" s="108">
        <f t="shared" si="7"/>
        <v>6820.94</v>
      </c>
      <c r="L28" s="107">
        <f>SUM(L26:L27)</f>
        <v>-8948.0299999999734</v>
      </c>
      <c r="M28" s="109">
        <f t="shared" si="3"/>
        <v>-1.0508242701120371E-2</v>
      </c>
      <c r="N28" s="192">
        <f>O3</f>
        <v>5.0000000000000001E-3</v>
      </c>
      <c r="O28" s="110"/>
    </row>
    <row r="29" spans="1:15" s="111" customFormat="1" ht="17" thickBot="1">
      <c r="B29" s="112"/>
      <c r="C29" s="113"/>
      <c r="D29" s="114"/>
      <c r="E29" s="115"/>
      <c r="F29" s="116"/>
      <c r="G29" s="117"/>
      <c r="H29" s="117"/>
      <c r="I29" s="118">
        <f t="shared" si="0"/>
        <v>0</v>
      </c>
      <c r="J29" s="119"/>
      <c r="K29" s="120"/>
      <c r="L29" s="121"/>
      <c r="M29" s="95"/>
      <c r="N29" s="193"/>
      <c r="O29" s="120"/>
    </row>
    <row r="30" spans="1:15" s="1" customFormat="1">
      <c r="C30" s="122"/>
      <c r="D30" s="82"/>
      <c r="E30" s="84"/>
      <c r="F30" s="123"/>
      <c r="G30" s="124"/>
      <c r="H30" s="124"/>
      <c r="I30" s="9">
        <f t="shared" si="0"/>
        <v>0</v>
      </c>
      <c r="J30" s="65"/>
      <c r="K30" s="87"/>
      <c r="L30" s="10"/>
      <c r="M30" s="101"/>
      <c r="N30" s="191"/>
      <c r="O30" s="102"/>
    </row>
    <row r="31" spans="1:15" s="47" customFormat="1">
      <c r="A31" s="47" t="s">
        <v>37</v>
      </c>
      <c r="B31" s="47" t="s">
        <v>55</v>
      </c>
      <c r="C31" s="10">
        <v>86851.8</v>
      </c>
      <c r="D31" s="31">
        <v>90821.98</v>
      </c>
      <c r="E31" s="32">
        <v>98773.28</v>
      </c>
      <c r="F31" s="31">
        <f>122804.23-113.91</f>
        <v>122690.31999999999</v>
      </c>
      <c r="G31" s="33">
        <v>123705.42</v>
      </c>
      <c r="H31" s="33">
        <v>126098.21</v>
      </c>
      <c r="I31" s="9">
        <f t="shared" si="0"/>
        <v>2392.7900000000081</v>
      </c>
      <c r="J31" s="36"/>
      <c r="K31" s="9"/>
      <c r="L31" s="10">
        <f>I31-J31+K31</f>
        <v>2392.7900000000081</v>
      </c>
      <c r="M31" s="53">
        <f t="shared" si="3"/>
        <v>1.9342644808934065E-2</v>
      </c>
      <c r="N31" s="191">
        <f>O3</f>
        <v>5.0000000000000001E-3</v>
      </c>
    </row>
    <row r="32" spans="1:15" s="52" customFormat="1" ht="17" thickBot="1">
      <c r="C32" s="10"/>
      <c r="D32" s="56"/>
      <c r="E32" s="57"/>
      <c r="F32" s="56"/>
      <c r="G32" s="58"/>
      <c r="H32" s="58"/>
      <c r="J32" s="10"/>
      <c r="L32" s="10"/>
      <c r="M32" s="95"/>
      <c r="N32" s="190"/>
    </row>
    <row r="33" spans="1:15" s="125" customFormat="1" ht="17" thickBot="1">
      <c r="B33" s="125" t="s">
        <v>32</v>
      </c>
      <c r="C33" s="127">
        <f>C23+C28+C31</f>
        <v>801551.38000000012</v>
      </c>
      <c r="D33" s="128">
        <f t="shared" ref="D33" si="8">D28+D23+D31</f>
        <v>787842.45</v>
      </c>
      <c r="E33" s="129">
        <v>1525081.21</v>
      </c>
      <c r="F33" s="128">
        <f t="shared" ref="F33:L33" si="9">F23+F28+F31</f>
        <v>1921942.2276100002</v>
      </c>
      <c r="G33" s="130">
        <f t="shared" si="9"/>
        <v>2057262.8199999998</v>
      </c>
      <c r="H33" s="130">
        <f t="shared" si="9"/>
        <v>2041415.2199999997</v>
      </c>
      <c r="I33" s="196">
        <f t="shared" si="9"/>
        <v>-15847.600000000122</v>
      </c>
      <c r="J33" s="128">
        <f t="shared" si="9"/>
        <v>0</v>
      </c>
      <c r="K33" s="128">
        <f t="shared" si="9"/>
        <v>20277.939999999999</v>
      </c>
      <c r="L33" s="128">
        <f t="shared" si="9"/>
        <v>4430.3400000000365</v>
      </c>
      <c r="M33" s="131">
        <f t="shared" si="3"/>
        <v>2.1535119173543595E-3</v>
      </c>
      <c r="N33" s="194">
        <f>O3</f>
        <v>5.0000000000000001E-3</v>
      </c>
      <c r="O33" s="132"/>
    </row>
    <row r="34" spans="1:15" s="52" customFormat="1" ht="13">
      <c r="C34" s="65"/>
      <c r="D34" s="82"/>
      <c r="E34" s="133"/>
      <c r="F34" s="123"/>
      <c r="G34" s="124"/>
      <c r="H34" s="124"/>
      <c r="I34" s="134"/>
      <c r="J34" s="65"/>
      <c r="K34" s="87"/>
      <c r="L34" s="10"/>
      <c r="M34" s="135"/>
      <c r="N34" s="195"/>
    </row>
    <row r="35" spans="1:15" s="47" customFormat="1">
      <c r="A35" s="102" t="s">
        <v>30</v>
      </c>
      <c r="B35" s="47" t="s">
        <v>33</v>
      </c>
      <c r="C35" s="36">
        <v>117910.89</v>
      </c>
      <c r="D35" s="4">
        <v>10762.49</v>
      </c>
      <c r="E35" s="6"/>
      <c r="F35" s="5"/>
      <c r="G35" s="7"/>
      <c r="H35" s="7"/>
      <c r="I35" s="8"/>
      <c r="J35" s="36"/>
      <c r="K35" s="9"/>
      <c r="L35" s="36"/>
      <c r="M35" s="11"/>
      <c r="N35" s="136"/>
    </row>
    <row r="36" spans="1:15" s="47" customFormat="1">
      <c r="A36" s="102"/>
      <c r="B36" s="47" t="s">
        <v>34</v>
      </c>
      <c r="C36" s="36"/>
      <c r="D36" s="4">
        <f>'[1]Citizens Savings Detail'!K23</f>
        <v>90485.305989999993</v>
      </c>
      <c r="E36" s="32">
        <v>331123.19</v>
      </c>
      <c r="F36" s="31">
        <v>0</v>
      </c>
      <c r="G36" s="33"/>
      <c r="H36" s="33"/>
      <c r="I36" s="8"/>
      <c r="J36" s="36"/>
      <c r="K36" s="9"/>
      <c r="L36" s="36"/>
      <c r="M36" s="11"/>
      <c r="N36" s="136"/>
    </row>
    <row r="37" spans="1:15" s="47" customFormat="1">
      <c r="A37" s="102"/>
      <c r="B37" s="47" t="s">
        <v>35</v>
      </c>
      <c r="C37" s="36"/>
      <c r="D37" s="4"/>
      <c r="E37" s="32"/>
      <c r="F37" s="31">
        <v>325087.88</v>
      </c>
      <c r="G37" s="33">
        <v>327125.46999999997</v>
      </c>
      <c r="H37" s="33">
        <v>336184.98</v>
      </c>
      <c r="I37" s="8"/>
      <c r="J37" s="36"/>
      <c r="K37" s="9"/>
      <c r="L37" s="36"/>
      <c r="M37" s="11"/>
      <c r="N37" s="136"/>
    </row>
    <row r="38" spans="1:15" s="47" customFormat="1" ht="13">
      <c r="A38" s="102"/>
      <c r="B38" s="47" t="s">
        <v>36</v>
      </c>
      <c r="C38" s="36"/>
      <c r="D38" s="49">
        <f>SUM(D35:D36)</f>
        <v>101247.79599</v>
      </c>
      <c r="E38" s="6"/>
      <c r="F38" s="31">
        <v>0</v>
      </c>
      <c r="G38" s="33"/>
      <c r="H38" s="33"/>
      <c r="I38" s="9"/>
      <c r="J38" s="36"/>
      <c r="K38" s="9"/>
      <c r="L38" s="137"/>
      <c r="M38" s="11"/>
      <c r="N38" s="136"/>
    </row>
    <row r="39" spans="1:15" s="1" customFormat="1">
      <c r="C39" s="3"/>
      <c r="D39" s="4"/>
      <c r="E39" s="6"/>
      <c r="F39" s="5"/>
      <c r="G39" s="7"/>
      <c r="H39" s="7"/>
      <c r="I39" s="9"/>
      <c r="J39" s="3"/>
      <c r="K39" s="9"/>
      <c r="L39" s="138"/>
      <c r="M39" s="11"/>
      <c r="N39" s="37"/>
    </row>
    <row r="40" spans="1:15" s="52" customFormat="1" ht="13">
      <c r="A40" s="9" t="s">
        <v>37</v>
      </c>
      <c r="B40" s="52" t="s">
        <v>38</v>
      </c>
      <c r="C40" s="36">
        <v>40933.339999999997</v>
      </c>
      <c r="D40" s="4">
        <v>145828.93</v>
      </c>
      <c r="E40" s="32">
        <v>129536.67</v>
      </c>
      <c r="F40" s="31">
        <f>1044605.59+7500-F37</f>
        <v>727017.70999999985</v>
      </c>
      <c r="G40" s="33">
        <f>630961.1-G37</f>
        <v>303835.63</v>
      </c>
      <c r="H40" s="33">
        <f>938776.81-H37</f>
        <v>602591.83000000007</v>
      </c>
      <c r="I40" s="9"/>
      <c r="J40" s="36"/>
      <c r="K40" s="9"/>
      <c r="L40" s="36"/>
      <c r="M40" s="11"/>
      <c r="N40" s="136"/>
    </row>
    <row r="41" spans="1:15" s="52" customFormat="1" ht="13">
      <c r="A41" s="9"/>
      <c r="B41" s="52" t="s">
        <v>39</v>
      </c>
      <c r="C41" s="36"/>
      <c r="D41" s="4">
        <f>'[1]Citizens Savings Detail'!K30</f>
        <v>48843.529900000001</v>
      </c>
      <c r="E41" s="32">
        <v>427303.08</v>
      </c>
      <c r="F41" s="31">
        <v>3792.35</v>
      </c>
      <c r="G41" s="33">
        <v>0</v>
      </c>
      <c r="H41" s="33">
        <v>0</v>
      </c>
      <c r="I41" s="9"/>
      <c r="J41" s="36"/>
      <c r="K41" s="9"/>
      <c r="L41" s="36"/>
      <c r="M41" s="11"/>
      <c r="N41" s="136"/>
    </row>
    <row r="42" spans="1:15" s="52" customFormat="1" ht="13">
      <c r="A42" s="9"/>
      <c r="B42" s="52" t="s">
        <v>40</v>
      </c>
      <c r="C42" s="36"/>
      <c r="D42" s="4"/>
      <c r="E42" s="32"/>
      <c r="F42" s="31"/>
      <c r="G42" s="33">
        <v>336712.86</v>
      </c>
      <c r="H42" s="33">
        <v>5279.76</v>
      </c>
      <c r="I42" s="9"/>
      <c r="J42" s="36"/>
      <c r="K42" s="9"/>
      <c r="L42" s="36"/>
      <c r="M42" s="11"/>
      <c r="N42" s="136"/>
    </row>
    <row r="43" spans="1:15" s="8" customFormat="1">
      <c r="B43" s="52" t="s">
        <v>41</v>
      </c>
      <c r="C43" s="36">
        <v>843</v>
      </c>
      <c r="D43" s="4">
        <v>4214.42</v>
      </c>
      <c r="E43" s="139">
        <v>2535.34</v>
      </c>
      <c r="F43" s="140">
        <v>85169.17</v>
      </c>
      <c r="G43" s="62">
        <v>8225.39</v>
      </c>
      <c r="H43" s="62">
        <v>8225.39</v>
      </c>
      <c r="J43" s="36"/>
      <c r="K43" s="9"/>
      <c r="L43" s="36"/>
      <c r="M43" s="11"/>
      <c r="N43" s="37"/>
    </row>
    <row r="44" spans="1:15" s="52" customFormat="1" ht="13">
      <c r="A44" s="9"/>
      <c r="B44" s="52" t="s">
        <v>42</v>
      </c>
      <c r="C44" s="36"/>
      <c r="D44" s="49">
        <f t="shared" ref="D44" si="10">SUM(D40:D43)</f>
        <v>198886.8799</v>
      </c>
      <c r="E44" s="32">
        <v>559375.09</v>
      </c>
      <c r="F44" s="31">
        <f>SUM(F40:F43)</f>
        <v>815979.22999999986</v>
      </c>
      <c r="G44" s="33">
        <f>SUM(G40:G43)</f>
        <v>648773.88</v>
      </c>
      <c r="H44" s="33">
        <f>SUM(H40:H43)</f>
        <v>616096.9800000001</v>
      </c>
      <c r="I44" s="9"/>
      <c r="J44" s="36"/>
      <c r="K44" s="9"/>
      <c r="L44" s="137"/>
      <c r="M44" s="11"/>
      <c r="N44" s="136"/>
    </row>
    <row r="45" spans="1:15" s="1" customFormat="1">
      <c r="C45" s="3"/>
      <c r="D45" s="4"/>
      <c r="E45" s="6"/>
      <c r="F45" s="31"/>
      <c r="G45" s="33"/>
      <c r="H45" s="33"/>
      <c r="I45" s="8"/>
      <c r="J45" s="3"/>
      <c r="K45" s="9"/>
      <c r="L45" s="138"/>
      <c r="M45" s="11"/>
      <c r="N45" s="37"/>
    </row>
    <row r="46" spans="1:15" s="8" customFormat="1">
      <c r="A46" s="8" t="s">
        <v>18</v>
      </c>
      <c r="B46" s="52" t="s">
        <v>43</v>
      </c>
      <c r="C46" s="36">
        <v>131151.76999999999</v>
      </c>
      <c r="D46" s="4"/>
      <c r="E46" s="6"/>
      <c r="F46" s="31"/>
      <c r="G46" s="33"/>
      <c r="H46" s="33"/>
      <c r="J46" s="141"/>
      <c r="K46" s="9"/>
      <c r="L46" s="36"/>
      <c r="M46" s="11"/>
      <c r="N46" s="37"/>
    </row>
    <row r="47" spans="1:15" s="149" customFormat="1" ht="15" thickBot="1">
      <c r="B47" s="112" t="s">
        <v>44</v>
      </c>
      <c r="C47" s="150"/>
      <c r="D47" s="151"/>
      <c r="E47" s="152"/>
      <c r="F47" s="151">
        <f>F37+F44</f>
        <v>1141067.1099999999</v>
      </c>
      <c r="G47" s="153">
        <f>G37+G44</f>
        <v>975899.35</v>
      </c>
      <c r="H47" s="153">
        <f>H44+H37</f>
        <v>952281.96000000008</v>
      </c>
      <c r="J47" s="150"/>
      <c r="L47" s="154"/>
      <c r="M47" s="155"/>
      <c r="N47" s="156"/>
    </row>
    <row r="48" spans="1:15" s="8" customFormat="1">
      <c r="B48" s="52"/>
      <c r="C48" s="36"/>
      <c r="D48" s="31"/>
      <c r="E48" s="6"/>
      <c r="F48" s="31"/>
      <c r="G48" s="33"/>
      <c r="H48" s="33"/>
      <c r="I48" s="9"/>
      <c r="J48" s="36"/>
      <c r="K48" s="9"/>
      <c r="L48" s="137"/>
      <c r="M48" s="11"/>
      <c r="N48" s="37"/>
    </row>
    <row r="49" spans="1:15" s="8" customFormat="1">
      <c r="A49" s="187" t="s">
        <v>30</v>
      </c>
      <c r="B49" s="52" t="s">
        <v>49</v>
      </c>
      <c r="C49" s="36"/>
      <c r="D49" s="31"/>
      <c r="E49" s="6"/>
      <c r="F49" s="31">
        <v>0</v>
      </c>
      <c r="G49" s="33">
        <v>1100000</v>
      </c>
      <c r="H49" s="33">
        <v>1100000</v>
      </c>
      <c r="I49" s="9"/>
      <c r="J49" s="36"/>
      <c r="K49" s="9"/>
      <c r="L49" s="137"/>
      <c r="M49" s="11"/>
      <c r="N49" s="37"/>
    </row>
    <row r="50" spans="1:15" s="8" customFormat="1">
      <c r="A50" s="9" t="s">
        <v>37</v>
      </c>
      <c r="B50" s="52" t="s">
        <v>45</v>
      </c>
      <c r="C50" s="36"/>
      <c r="D50" s="31"/>
      <c r="E50" s="6"/>
      <c r="F50" s="31">
        <v>0</v>
      </c>
      <c r="G50" s="33">
        <v>-325000</v>
      </c>
      <c r="H50" s="33">
        <v>0</v>
      </c>
      <c r="I50" s="9"/>
      <c r="J50" s="36"/>
      <c r="K50" s="9"/>
      <c r="L50" s="137"/>
      <c r="M50" s="11"/>
      <c r="N50" s="37"/>
    </row>
    <row r="51" spans="1:15" s="8" customFormat="1" ht="17" thickBot="1">
      <c r="A51" s="120"/>
      <c r="B51" s="30"/>
      <c r="C51" s="142"/>
      <c r="D51" s="143"/>
      <c r="E51" s="144"/>
      <c r="F51" s="143"/>
      <c r="G51" s="145"/>
      <c r="H51" s="145"/>
      <c r="I51" s="120"/>
      <c r="J51" s="142"/>
      <c r="K51" s="120"/>
      <c r="L51" s="146"/>
      <c r="M51" s="147"/>
      <c r="N51" s="148"/>
    </row>
    <row r="52" spans="1:15" s="8" customFormat="1" ht="17" thickBot="1">
      <c r="A52" s="157"/>
      <c r="B52" s="125" t="s">
        <v>46</v>
      </c>
      <c r="C52" s="158"/>
      <c r="D52" s="159"/>
      <c r="E52" s="160"/>
      <c r="F52" s="159"/>
      <c r="G52" s="130">
        <f>G50+G49</f>
        <v>775000</v>
      </c>
      <c r="H52" s="130">
        <f>SUM(H49:H50)</f>
        <v>1100000</v>
      </c>
      <c r="I52" s="157"/>
      <c r="J52" s="158"/>
      <c r="K52" s="157"/>
      <c r="L52" s="161"/>
      <c r="M52" s="162"/>
      <c r="N52" s="163"/>
    </row>
    <row r="53" spans="1:15" s="8" customFormat="1">
      <c r="B53" s="52"/>
      <c r="C53" s="36"/>
      <c r="D53" s="4"/>
      <c r="E53" s="6"/>
      <c r="F53" s="31"/>
      <c r="G53" s="33"/>
      <c r="H53" s="33"/>
      <c r="J53" s="36"/>
      <c r="K53" s="9"/>
      <c r="L53" s="36"/>
      <c r="M53" s="11"/>
      <c r="N53" s="37"/>
    </row>
    <row r="54" spans="1:15" s="1" customFormat="1" ht="17" thickBot="1">
      <c r="C54" s="3"/>
      <c r="D54" s="4"/>
      <c r="E54" s="6"/>
      <c r="F54" s="31"/>
      <c r="G54" s="33"/>
      <c r="H54" s="33"/>
      <c r="I54" s="8"/>
      <c r="J54" s="3"/>
      <c r="K54" s="9"/>
      <c r="L54" s="10"/>
      <c r="M54" s="11"/>
      <c r="N54" s="37"/>
    </row>
    <row r="55" spans="1:15" s="125" customFormat="1" ht="17" thickBot="1">
      <c r="B55" s="164" t="s">
        <v>47</v>
      </c>
      <c r="C55" s="127">
        <f>C40+C35+C33+C46+C43</f>
        <v>1092390.3800000001</v>
      </c>
      <c r="D55" s="128">
        <f>D44+D38+D33</f>
        <v>1087977.12589</v>
      </c>
      <c r="E55" s="129">
        <v>2415579.4900000002</v>
      </c>
      <c r="F55" s="128">
        <f>F44+F37+F33</f>
        <v>3063009.3376099998</v>
      </c>
      <c r="G55" s="130">
        <f>G33+G47+G52</f>
        <v>3808162.17</v>
      </c>
      <c r="H55" s="130">
        <f>H33+H47+H52</f>
        <v>4093697.1799999997</v>
      </c>
      <c r="I55" s="126"/>
      <c r="J55" s="127"/>
      <c r="K55" s="127"/>
      <c r="L55" s="127"/>
      <c r="M55" s="165"/>
      <c r="N55" s="166"/>
    </row>
    <row r="56" spans="1:15" s="125" customFormat="1" ht="17" thickBot="1">
      <c r="B56" s="164"/>
      <c r="C56" s="127"/>
      <c r="D56" s="128"/>
      <c r="E56" s="129"/>
      <c r="F56" s="128"/>
      <c r="G56" s="130"/>
      <c r="H56" s="130"/>
      <c r="J56" s="127"/>
      <c r="L56" s="127"/>
      <c r="M56" s="165"/>
      <c r="N56" s="166"/>
    </row>
    <row r="57" spans="1:15" s="171" customFormat="1" ht="17" thickBot="1">
      <c r="B57" s="167" t="s">
        <v>48</v>
      </c>
      <c r="C57" s="168">
        <v>445045</v>
      </c>
      <c r="D57" s="159">
        <v>348699.23</v>
      </c>
      <c r="E57" s="169">
        <v>497147.68</v>
      </c>
      <c r="F57" s="159">
        <v>521276.84</v>
      </c>
      <c r="G57" s="170">
        <v>521301.78</v>
      </c>
      <c r="H57" s="170">
        <v>514745.62</v>
      </c>
      <c r="I57" s="167">
        <f>H57-G57</f>
        <v>-6556.1600000000326</v>
      </c>
      <c r="J57" s="168"/>
      <c r="K57" s="167">
        <v>6238.89</v>
      </c>
      <c r="L57" s="168">
        <f>I57-J57+K57</f>
        <v>-317.27000000003227</v>
      </c>
      <c r="M57" s="172">
        <f>L57/F57</f>
        <v>-6.0864012297195524E-4</v>
      </c>
      <c r="N57" s="166">
        <v>5.0000000000000001E-3</v>
      </c>
      <c r="O57" s="157"/>
    </row>
    <row r="58" spans="1:15" s="173" customFormat="1">
      <c r="D58" s="174"/>
      <c r="E58" s="176"/>
      <c r="F58" s="175"/>
      <c r="G58" s="175"/>
      <c r="H58" s="175"/>
      <c r="K58" s="177"/>
      <c r="L58" s="178"/>
      <c r="M58" s="179"/>
      <c r="N58" s="1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1F39-0069-BB44-88FF-17D12D3E42B6}">
  <dimension ref="A1:Y60"/>
  <sheetViews>
    <sheetView topLeftCell="A40" workbookViewId="0">
      <selection activeCell="H60" sqref="H60"/>
    </sheetView>
  </sheetViews>
  <sheetFormatPr baseColWidth="10" defaultRowHeight="16"/>
  <cols>
    <col min="1" max="1" width="3" customWidth="1"/>
    <col min="2" max="2" width="46.5" bestFit="1" customWidth="1"/>
    <col min="3" max="5" width="14.33203125" bestFit="1" customWidth="1"/>
    <col min="6" max="8" width="14.1640625" bestFit="1" customWidth="1"/>
    <col min="9" max="9" width="14" bestFit="1" customWidth="1"/>
    <col min="10" max="10" width="12.33203125" bestFit="1" customWidth="1"/>
    <col min="11" max="11" width="12" bestFit="1" customWidth="1"/>
    <col min="12" max="12" width="12.83203125" bestFit="1" customWidth="1"/>
    <col min="13" max="15" width="11" bestFit="1" customWidth="1"/>
  </cols>
  <sheetData>
    <row r="1" spans="1:17" s="8" customFormat="1" ht="17" thickBot="1">
      <c r="B1" s="12"/>
      <c r="C1" s="3"/>
      <c r="D1" s="13"/>
      <c r="E1" s="14"/>
      <c r="F1" s="15" t="s">
        <v>0</v>
      </c>
      <c r="G1" s="16" t="s">
        <v>1</v>
      </c>
      <c r="H1" s="16" t="s">
        <v>2</v>
      </c>
      <c r="J1" s="3"/>
      <c r="K1" s="9"/>
      <c r="L1" s="183" t="s">
        <v>50</v>
      </c>
      <c r="M1" s="185" t="s">
        <v>50</v>
      </c>
      <c r="N1" s="17" t="s">
        <v>3</v>
      </c>
    </row>
    <row r="2" spans="1:17" s="30" customFormat="1" ht="18" customHeight="1" thickTop="1" thickBot="1">
      <c r="A2" s="18" t="s">
        <v>52</v>
      </c>
      <c r="B2" s="19"/>
      <c r="C2" s="21">
        <v>38898</v>
      </c>
      <c r="D2" s="22">
        <v>40359</v>
      </c>
      <c r="E2" s="23">
        <v>42185</v>
      </c>
      <c r="F2" s="22">
        <v>43281</v>
      </c>
      <c r="G2" s="24">
        <v>43646</v>
      </c>
      <c r="H2" s="24">
        <v>43830</v>
      </c>
      <c r="I2" s="25" t="s">
        <v>4</v>
      </c>
      <c r="J2" s="26" t="s">
        <v>5</v>
      </c>
      <c r="K2" s="27" t="s">
        <v>6</v>
      </c>
      <c r="L2" s="184" t="s">
        <v>51</v>
      </c>
      <c r="M2" s="186" t="s">
        <v>7</v>
      </c>
      <c r="N2" s="28" t="s">
        <v>8</v>
      </c>
      <c r="O2" s="29" t="s">
        <v>9</v>
      </c>
    </row>
    <row r="3" spans="1:17" s="1" customFormat="1" ht="17" thickTop="1">
      <c r="B3" s="1" t="s">
        <v>10</v>
      </c>
      <c r="C3" s="3">
        <v>107880.5</v>
      </c>
      <c r="D3" s="4">
        <v>42740.85</v>
      </c>
      <c r="E3" s="32">
        <v>68736.680000000008</v>
      </c>
      <c r="F3" s="31">
        <f>180.73*75.358</f>
        <v>13619.45134</v>
      </c>
      <c r="G3" s="33">
        <v>0</v>
      </c>
      <c r="H3" s="33"/>
      <c r="I3" s="9"/>
      <c r="J3" s="3"/>
      <c r="K3" s="35"/>
      <c r="L3" s="36">
        <f>I3-J3+K3</f>
        <v>0</v>
      </c>
      <c r="M3" s="34"/>
      <c r="N3" s="37"/>
      <c r="O3" s="181">
        <v>7.8E-2</v>
      </c>
    </row>
    <row r="4" spans="1:17" s="38" customFormat="1">
      <c r="B4" s="38" t="s">
        <v>11</v>
      </c>
      <c r="C4" s="39"/>
      <c r="D4" s="4">
        <v>57541.57</v>
      </c>
      <c r="E4" s="32">
        <v>85630.99</v>
      </c>
      <c r="F4" s="31">
        <f>130901.36-79</f>
        <v>130822.36</v>
      </c>
      <c r="G4" s="33">
        <v>141779.75</v>
      </c>
      <c r="H4" s="33">
        <v>149218.07</v>
      </c>
      <c r="I4" s="41">
        <f t="shared" ref="I4:I33" si="0">H4-G4</f>
        <v>7438.320000000007</v>
      </c>
      <c r="J4" s="42"/>
      <c r="K4" s="43">
        <f>1747+1757</f>
        <v>3504</v>
      </c>
      <c r="L4" s="44">
        <f>I4-J4+K4</f>
        <v>10942.320000000007</v>
      </c>
      <c r="M4" s="45">
        <f>L4/G4</f>
        <v>7.717829943980016E-2</v>
      </c>
      <c r="N4" s="46"/>
      <c r="O4" s="9"/>
      <c r="P4" s="8"/>
      <c r="Q4" s="8"/>
    </row>
    <row r="5" spans="1:17" s="47" customFormat="1">
      <c r="A5" s="47" t="s">
        <v>12</v>
      </c>
      <c r="B5" s="47" t="s">
        <v>13</v>
      </c>
      <c r="C5" s="48"/>
      <c r="D5" s="49">
        <f>SUM(D3:D4)</f>
        <v>100282.42</v>
      </c>
      <c r="E5" s="50">
        <v>154367.67000000001</v>
      </c>
      <c r="F5" s="49">
        <f t="shared" ref="F5" si="1">SUM(F3:F4)</f>
        <v>144441.81134000001</v>
      </c>
      <c r="G5" s="51">
        <f>SUM(G3:G4)</f>
        <v>141779.75</v>
      </c>
      <c r="H5" s="51">
        <f>SUM(H3:H4)</f>
        <v>149218.07</v>
      </c>
      <c r="I5" s="9">
        <f t="shared" si="0"/>
        <v>7438.320000000007</v>
      </c>
      <c r="J5" s="10">
        <f t="shared" ref="J5:L5" si="2">SUM(J3:J4)</f>
        <v>0</v>
      </c>
      <c r="K5" s="52">
        <f t="shared" si="2"/>
        <v>3504</v>
      </c>
      <c r="L5" s="10">
        <f t="shared" si="2"/>
        <v>10942.320000000007</v>
      </c>
      <c r="M5" s="53">
        <f t="shared" ref="M5:M35" si="3">L5/G5</f>
        <v>7.717829943980016E-2</v>
      </c>
      <c r="N5" s="37">
        <f>O3</f>
        <v>7.8E-2</v>
      </c>
      <c r="O5" s="54"/>
      <c r="P5" s="52"/>
      <c r="Q5" s="52"/>
    </row>
    <row r="6" spans="1:17" s="1" customFormat="1">
      <c r="C6" s="3"/>
      <c r="D6" s="55"/>
      <c r="E6" s="57"/>
      <c r="F6" s="56"/>
      <c r="G6" s="58"/>
      <c r="H6" s="58"/>
      <c r="I6" s="9">
        <f t="shared" si="0"/>
        <v>0</v>
      </c>
      <c r="J6" s="3"/>
      <c r="K6" s="9"/>
      <c r="L6" s="10"/>
      <c r="M6" s="53"/>
      <c r="N6" s="37"/>
      <c r="O6" s="59"/>
      <c r="P6" s="8"/>
      <c r="Q6" s="8"/>
    </row>
    <row r="7" spans="1:17" s="1" customFormat="1">
      <c r="B7" s="2" t="s">
        <v>14</v>
      </c>
      <c r="C7" s="2">
        <v>243337.69</v>
      </c>
      <c r="D7" s="4">
        <v>98803.3</v>
      </c>
      <c r="E7" s="32">
        <v>128325.54</v>
      </c>
      <c r="F7" s="60">
        <f>142.477*180.73</f>
        <v>25749.868210000001</v>
      </c>
      <c r="G7" s="61">
        <v>0</v>
      </c>
      <c r="H7" s="61"/>
      <c r="I7" s="9">
        <f t="shared" si="0"/>
        <v>0</v>
      </c>
      <c r="J7" s="3">
        <v>0</v>
      </c>
      <c r="K7" s="35"/>
      <c r="L7" s="36">
        <f>I7-J7+K7</f>
        <v>0</v>
      </c>
      <c r="M7" s="53"/>
      <c r="N7" s="37"/>
      <c r="O7" s="59"/>
      <c r="P7" s="8"/>
      <c r="Q7" s="8"/>
    </row>
    <row r="8" spans="1:17" s="38" customFormat="1">
      <c r="B8" s="38" t="s">
        <v>15</v>
      </c>
      <c r="C8" s="40"/>
      <c r="D8" s="4">
        <v>106514.53</v>
      </c>
      <c r="E8" s="32">
        <v>158702.09</v>
      </c>
      <c r="F8" s="31">
        <f>235289.69-143</f>
        <v>235146.69</v>
      </c>
      <c r="G8" s="33">
        <v>252755.25</v>
      </c>
      <c r="H8" s="62">
        <v>264831.25</v>
      </c>
      <c r="I8" s="41">
        <f t="shared" si="0"/>
        <v>12076</v>
      </c>
      <c r="J8" s="42"/>
      <c r="K8" s="43">
        <f>3778+3791</f>
        <v>7569</v>
      </c>
      <c r="L8" s="44">
        <f>I8-J8+K8</f>
        <v>19645</v>
      </c>
      <c r="M8" s="45">
        <f t="shared" si="3"/>
        <v>7.7723410295137296E-2</v>
      </c>
      <c r="N8" s="46"/>
      <c r="O8" s="63"/>
      <c r="P8" s="8"/>
      <c r="Q8" s="8"/>
    </row>
    <row r="9" spans="1:17" s="47" customFormat="1">
      <c r="A9" s="47" t="s">
        <v>16</v>
      </c>
      <c r="B9" s="47" t="s">
        <v>17</v>
      </c>
      <c r="C9" s="10"/>
      <c r="D9" s="49">
        <f>SUM(D7:D8)</f>
        <v>205317.83000000002</v>
      </c>
      <c r="E9" s="50">
        <v>287027.63</v>
      </c>
      <c r="F9" s="49">
        <f t="shared" ref="F9" si="4">SUM(F7:F8)</f>
        <v>260896.55820999999</v>
      </c>
      <c r="G9" s="51">
        <f>SUM(G7:G8)</f>
        <v>252755.25</v>
      </c>
      <c r="H9" s="64">
        <f>SUM(H7:H8)</f>
        <v>264831.25</v>
      </c>
      <c r="I9" s="9">
        <f t="shared" si="0"/>
        <v>12076</v>
      </c>
      <c r="J9" s="10">
        <f>SUM(J7:J8)</f>
        <v>0</v>
      </c>
      <c r="K9" s="52">
        <f t="shared" ref="K9:L9" si="5">SUM(K7:K8)</f>
        <v>7569</v>
      </c>
      <c r="L9" s="10">
        <f t="shared" si="5"/>
        <v>19645</v>
      </c>
      <c r="M9" s="53">
        <f t="shared" si="3"/>
        <v>7.7723410295137296E-2</v>
      </c>
      <c r="N9" s="37">
        <f>O3</f>
        <v>7.8E-2</v>
      </c>
    </row>
    <row r="10" spans="1:17" s="1" customFormat="1">
      <c r="C10" s="65"/>
      <c r="D10" s="67"/>
      <c r="E10" s="69"/>
      <c r="F10" s="68"/>
      <c r="G10" s="70"/>
      <c r="H10" s="70"/>
      <c r="I10" s="9">
        <f t="shared" si="0"/>
        <v>0</v>
      </c>
      <c r="J10" s="66"/>
      <c r="K10" s="71"/>
      <c r="L10" s="10"/>
      <c r="M10" s="53"/>
      <c r="N10" s="37"/>
    </row>
    <row r="11" spans="1:17" s="47" customFormat="1">
      <c r="A11" s="47" t="s">
        <v>18</v>
      </c>
      <c r="B11" s="47" t="s">
        <v>19</v>
      </c>
      <c r="C11" s="10">
        <v>34391.75</v>
      </c>
      <c r="D11" s="31">
        <v>38484.42</v>
      </c>
      <c r="E11" s="32">
        <v>81631.039999999994</v>
      </c>
      <c r="F11" s="31">
        <f>87489.7-47.7</f>
        <v>87442</v>
      </c>
      <c r="G11" s="33">
        <v>85839.66</v>
      </c>
      <c r="H11" s="33">
        <v>92375.13</v>
      </c>
      <c r="I11" s="9">
        <f t="shared" si="0"/>
        <v>6535.4700000000012</v>
      </c>
      <c r="J11" s="36">
        <v>2000</v>
      </c>
      <c r="K11" s="52">
        <f>1058+1063</f>
        <v>2121</v>
      </c>
      <c r="L11" s="10">
        <f>I11-J11+K11</f>
        <v>6656.4700000000012</v>
      </c>
      <c r="M11" s="53">
        <f t="shared" si="3"/>
        <v>7.7545391023217017E-2</v>
      </c>
      <c r="N11" s="37">
        <f>O3</f>
        <v>7.8E-2</v>
      </c>
    </row>
    <row r="12" spans="1:17" s="47" customFormat="1">
      <c r="C12" s="10"/>
      <c r="D12" s="31"/>
      <c r="E12" s="32"/>
      <c r="F12" s="31"/>
      <c r="G12" s="33"/>
      <c r="H12" s="33"/>
      <c r="I12" s="9"/>
      <c r="J12" s="10"/>
      <c r="K12" s="52"/>
      <c r="L12" s="10"/>
      <c r="M12" s="53"/>
      <c r="N12" s="37"/>
    </row>
    <row r="13" spans="1:17" s="47" customFormat="1">
      <c r="A13" s="47" t="s">
        <v>20</v>
      </c>
      <c r="B13" s="47" t="s">
        <v>21</v>
      </c>
      <c r="C13" s="10"/>
      <c r="D13" s="72"/>
      <c r="E13" s="32">
        <v>120636.46</v>
      </c>
      <c r="F13" s="31">
        <f>151210.68-82.68</f>
        <v>151128</v>
      </c>
      <c r="G13" s="33">
        <v>150250.49</v>
      </c>
      <c r="H13" s="33">
        <v>158473.59</v>
      </c>
      <c r="I13" s="9">
        <f t="shared" si="0"/>
        <v>8223.1000000000058</v>
      </c>
      <c r="J13" s="36">
        <f>200</f>
        <v>200</v>
      </c>
      <c r="K13" s="52">
        <f>1817+1830</f>
        <v>3647</v>
      </c>
      <c r="L13" s="10">
        <f>I13-J13+K13</f>
        <v>11670.100000000006</v>
      </c>
      <c r="M13" s="53">
        <f t="shared" si="3"/>
        <v>7.7670961339294173E-2</v>
      </c>
      <c r="N13" s="37">
        <f>O3</f>
        <v>7.8E-2</v>
      </c>
    </row>
    <row r="14" spans="1:17">
      <c r="B14" s="182"/>
      <c r="C14" s="73"/>
      <c r="E14" s="74"/>
      <c r="F14" s="75"/>
      <c r="G14" s="76"/>
      <c r="H14" s="76"/>
      <c r="I14" s="36"/>
      <c r="K14" s="77"/>
      <c r="L14" s="73"/>
      <c r="M14" s="53"/>
      <c r="N14" s="78"/>
    </row>
    <row r="15" spans="1:17" s="47" customFormat="1">
      <c r="A15" s="47" t="s">
        <v>22</v>
      </c>
      <c r="B15" s="47" t="s">
        <v>23</v>
      </c>
      <c r="C15" s="10"/>
      <c r="D15" s="31"/>
      <c r="E15" s="32">
        <v>51112.78</v>
      </c>
      <c r="F15" s="31">
        <f>117801.18+250</f>
        <v>118051.18</v>
      </c>
      <c r="G15" s="33">
        <v>118927.03</v>
      </c>
      <c r="H15" s="33">
        <v>126054.62</v>
      </c>
      <c r="I15" s="9">
        <f t="shared" si="0"/>
        <v>7127.5899999999965</v>
      </c>
      <c r="J15" s="36">
        <f>350</f>
        <v>350</v>
      </c>
      <c r="K15" s="52">
        <f>1230+1272</f>
        <v>2502</v>
      </c>
      <c r="L15" s="10">
        <f>I15-J15+K15</f>
        <v>9279.5899999999965</v>
      </c>
      <c r="M15" s="53">
        <f t="shared" si="3"/>
        <v>7.8027593895180908E-2</v>
      </c>
      <c r="N15" s="37">
        <f>O3</f>
        <v>7.8E-2</v>
      </c>
    </row>
    <row r="16" spans="1:17" s="47" customFormat="1">
      <c r="C16" s="10"/>
      <c r="D16" s="31"/>
      <c r="E16" s="32"/>
      <c r="F16" s="31"/>
      <c r="G16" s="33"/>
      <c r="H16" s="33"/>
      <c r="I16" s="9"/>
      <c r="J16" s="10"/>
      <c r="K16" s="52"/>
      <c r="L16" s="10"/>
      <c r="M16" s="53"/>
      <c r="N16" s="37"/>
    </row>
    <row r="17" spans="1:25" s="47" customFormat="1">
      <c r="A17" s="47" t="s">
        <v>24</v>
      </c>
      <c r="B17" s="47" t="s">
        <v>25</v>
      </c>
      <c r="C17" s="10"/>
      <c r="D17" s="31"/>
      <c r="E17" s="32">
        <v>56403.78</v>
      </c>
      <c r="F17" s="31">
        <v>160539.82999999999</v>
      </c>
      <c r="G17" s="33">
        <v>168629.77</v>
      </c>
      <c r="H17" s="33">
        <v>182975.47</v>
      </c>
      <c r="I17" s="9">
        <f t="shared" si="0"/>
        <v>14345.700000000012</v>
      </c>
      <c r="J17" s="36">
        <v>5000</v>
      </c>
      <c r="K17" s="52">
        <f>1834+1918</f>
        <v>3752</v>
      </c>
      <c r="L17" s="10">
        <f>I17-J17+K17</f>
        <v>13097.700000000012</v>
      </c>
      <c r="M17" s="53">
        <f t="shared" si="3"/>
        <v>7.7671338815204535E-2</v>
      </c>
      <c r="N17" s="37">
        <f>O3</f>
        <v>7.8E-2</v>
      </c>
      <c r="O17" s="79"/>
    </row>
    <row r="18" spans="1:25" s="47" customFormat="1">
      <c r="C18" s="10"/>
      <c r="D18" s="31"/>
      <c r="E18" s="32"/>
      <c r="F18" s="31"/>
      <c r="G18" s="33"/>
      <c r="H18" s="33"/>
      <c r="I18" s="9"/>
      <c r="J18" s="10"/>
      <c r="K18" s="52"/>
      <c r="L18" s="10"/>
      <c r="M18" s="53"/>
      <c r="N18" s="37"/>
    </row>
    <row r="19" spans="1:25" s="47" customFormat="1">
      <c r="A19" s="47" t="s">
        <v>26</v>
      </c>
      <c r="B19" s="47" t="s">
        <v>56</v>
      </c>
      <c r="C19" s="10"/>
      <c r="D19" s="31"/>
      <c r="E19" s="32"/>
      <c r="F19" s="31">
        <f>63028.01+150</f>
        <v>63178.01</v>
      </c>
      <c r="G19" s="33">
        <v>62612.83</v>
      </c>
      <c r="H19" s="33">
        <v>66011.289999999994</v>
      </c>
      <c r="I19" s="9">
        <f t="shared" si="0"/>
        <v>3398.4599999999919</v>
      </c>
      <c r="J19" s="10"/>
      <c r="K19" s="52">
        <f>732+740</f>
        <v>1472</v>
      </c>
      <c r="L19" s="10">
        <f>I19-J19+K19</f>
        <v>4870.4599999999919</v>
      </c>
      <c r="M19" s="53">
        <f t="shared" si="3"/>
        <v>7.7786932805943954E-2</v>
      </c>
      <c r="N19" s="37">
        <f>O3</f>
        <v>7.8E-2</v>
      </c>
      <c r="O19" s="80"/>
    </row>
    <row r="20" spans="1:25" s="47" customFormat="1">
      <c r="C20" s="10"/>
      <c r="D20" s="31"/>
      <c r="E20" s="32"/>
      <c r="F20" s="31"/>
      <c r="G20" s="33"/>
      <c r="H20" s="33"/>
      <c r="I20" s="9"/>
      <c r="J20" s="10"/>
      <c r="K20" s="52"/>
      <c r="L20" s="10"/>
      <c r="M20" s="53"/>
      <c r="N20" s="37"/>
      <c r="O20" s="80"/>
    </row>
    <row r="21" spans="1:25" s="47" customFormat="1">
      <c r="A21" s="47" t="s">
        <v>27</v>
      </c>
      <c r="B21" s="47" t="s">
        <v>28</v>
      </c>
      <c r="C21" s="10"/>
      <c r="D21" s="31"/>
      <c r="E21" s="32"/>
      <c r="F21" s="31">
        <v>0</v>
      </c>
      <c r="G21" s="33">
        <v>101237.75</v>
      </c>
      <c r="H21" s="33">
        <v>316332.11</v>
      </c>
      <c r="I21" s="9">
        <f t="shared" si="0"/>
        <v>215094.36</v>
      </c>
      <c r="J21" s="36">
        <f>209356.19</f>
        <v>209356.19</v>
      </c>
      <c r="K21" s="52">
        <f>1261+1261</f>
        <v>2522</v>
      </c>
      <c r="L21" s="10">
        <f>I21-J21+K21</f>
        <v>8260.1699999999837</v>
      </c>
      <c r="M21" s="81">
        <f t="shared" si="3"/>
        <v>8.159179752612028E-2</v>
      </c>
      <c r="N21" s="37">
        <f>O3</f>
        <v>7.8E-2</v>
      </c>
      <c r="O21" s="80"/>
    </row>
    <row r="22" spans="1:25" s="47" customFormat="1">
      <c r="C22" s="10"/>
      <c r="D22" s="31"/>
      <c r="E22" s="32"/>
      <c r="F22" s="31"/>
      <c r="G22" s="33"/>
      <c r="H22" s="33"/>
      <c r="I22" s="9"/>
      <c r="J22" s="10"/>
      <c r="K22" s="52"/>
      <c r="L22" s="10"/>
      <c r="M22" s="81"/>
      <c r="N22" s="37"/>
      <c r="O22" s="80"/>
    </row>
    <row r="23" spans="1:25" s="47" customFormat="1">
      <c r="A23" s="47" t="s">
        <v>58</v>
      </c>
      <c r="B23" s="197" t="s">
        <v>59</v>
      </c>
      <c r="C23" s="197"/>
      <c r="D23" s="10"/>
      <c r="E23" s="10"/>
      <c r="F23" s="31"/>
      <c r="G23" s="33">
        <v>0</v>
      </c>
      <c r="H23" s="33">
        <v>64499.5</v>
      </c>
      <c r="I23" s="9">
        <f>H23-0</f>
        <v>64499.5</v>
      </c>
      <c r="J23" s="36">
        <f>44685+315+5000+10000+250+100+700</f>
        <v>61050</v>
      </c>
      <c r="K23" s="52">
        <f>0</f>
        <v>0</v>
      </c>
      <c r="L23" s="10">
        <f t="shared" ref="L23" si="6">I23-J23+K23</f>
        <v>3449.5</v>
      </c>
      <c r="M23" s="81">
        <f>L23/60250</f>
        <v>5.7253112033195018E-2</v>
      </c>
      <c r="N23" s="200">
        <f>O3</f>
        <v>7.8E-2</v>
      </c>
      <c r="O23" s="198"/>
      <c r="P23" s="178"/>
      <c r="Q23" s="178"/>
      <c r="R23" s="178"/>
      <c r="S23" s="9"/>
      <c r="T23" s="52"/>
      <c r="U23" s="52"/>
      <c r="V23" s="52"/>
      <c r="W23" s="101"/>
      <c r="X23" s="199"/>
      <c r="Y23" s="52"/>
    </row>
    <row r="24" spans="1:25" s="1" customFormat="1">
      <c r="C24" s="65"/>
      <c r="D24" s="82"/>
      <c r="E24" s="84"/>
      <c r="F24" s="83"/>
      <c r="G24" s="85"/>
      <c r="H24" s="86"/>
      <c r="I24" s="41"/>
      <c r="J24" s="65"/>
      <c r="K24" s="87"/>
      <c r="L24" s="10"/>
      <c r="M24" s="45"/>
      <c r="N24" s="188"/>
    </row>
    <row r="25" spans="1:25" s="88" customFormat="1" ht="17" thickBot="1">
      <c r="B25" s="89" t="s">
        <v>29</v>
      </c>
      <c r="C25" s="90">
        <f>SUM(C3:C24)</f>
        <v>385609.94</v>
      </c>
      <c r="D25" s="91">
        <f>D5+D9+D11</f>
        <v>344084.67</v>
      </c>
      <c r="E25" s="92">
        <v>751179.36</v>
      </c>
      <c r="F25" s="91">
        <f>F19+F17+F15+F13+F11+F9+F5</f>
        <v>985677.38954999996</v>
      </c>
      <c r="G25" s="93">
        <f>G21+G19+G17+G15+G13+G11+G9+G5</f>
        <v>1082032.53</v>
      </c>
      <c r="H25" s="93">
        <f>H5+H9+H11+H13+H15+H17+H19+H21+H23</f>
        <v>1420771.03</v>
      </c>
      <c r="I25" s="20">
        <f>H25-G25</f>
        <v>338738.5</v>
      </c>
      <c r="J25" s="94">
        <f>J5+J9+J11+J13+J15+J17+J19+J21+J23</f>
        <v>277956.19</v>
      </c>
      <c r="K25" s="94">
        <f>K5+K9+K11+K13+K15+K17+K19+K21</f>
        <v>27089</v>
      </c>
      <c r="L25" s="90">
        <f>L5+L9+L11+L13+L15+L17+L19+L21+L23</f>
        <v>87871.31</v>
      </c>
      <c r="M25" s="95">
        <f t="shared" si="3"/>
        <v>8.120949006958228E-2</v>
      </c>
      <c r="N25" s="189">
        <f>O3</f>
        <v>7.8E-2</v>
      </c>
      <c r="O25" s="96"/>
    </row>
    <row r="26" spans="1:25" s="52" customFormat="1" ht="18" thickTop="1" thickBot="1">
      <c r="A26" s="97" t="s">
        <v>53</v>
      </c>
      <c r="B26" s="98"/>
      <c r="C26" s="10"/>
      <c r="D26" s="56"/>
      <c r="E26" s="57"/>
      <c r="F26" s="99"/>
      <c r="G26" s="100"/>
      <c r="H26" s="100"/>
      <c r="I26" s="9">
        <f t="shared" si="0"/>
        <v>0</v>
      </c>
      <c r="J26" s="10"/>
      <c r="L26" s="10"/>
      <c r="M26" s="101"/>
      <c r="N26" s="190"/>
    </row>
    <row r="27" spans="1:25" s="1" customFormat="1" ht="17" thickTop="1">
      <c r="C27" s="3"/>
      <c r="D27" s="55"/>
      <c r="E27" s="57"/>
      <c r="F27" s="99"/>
      <c r="G27" s="100"/>
      <c r="H27" s="100"/>
      <c r="I27" s="9">
        <f t="shared" si="0"/>
        <v>0</v>
      </c>
      <c r="J27" s="3"/>
      <c r="K27" s="9"/>
      <c r="L27" s="10"/>
      <c r="M27" s="53"/>
      <c r="N27" s="191"/>
      <c r="O27" s="102"/>
    </row>
    <row r="28" spans="1:25" s="1" customFormat="1">
      <c r="A28" s="1" t="s">
        <v>30</v>
      </c>
      <c r="B28" s="102" t="s">
        <v>57</v>
      </c>
      <c r="C28" s="3">
        <v>210866.85</v>
      </c>
      <c r="D28" s="4">
        <v>254060.28</v>
      </c>
      <c r="E28" s="32">
        <v>454092.35</v>
      </c>
      <c r="F28" s="31">
        <f>759174.06-437</f>
        <v>758737.06</v>
      </c>
      <c r="G28" s="33">
        <v>851524.87</v>
      </c>
      <c r="H28" s="33">
        <v>891820.09</v>
      </c>
      <c r="I28" s="36">
        <f t="shared" si="0"/>
        <v>40295.219999999972</v>
      </c>
      <c r="J28" s="9"/>
      <c r="K28" s="3">
        <f>6820.94+6918.23</f>
        <v>13739.169999999998</v>
      </c>
      <c r="L28" s="10">
        <f>I28-J28+K28</f>
        <v>54034.38999999997</v>
      </c>
      <c r="M28" s="53">
        <f t="shared" si="3"/>
        <v>6.3456032705186835E-2</v>
      </c>
      <c r="N28" s="191">
        <f>O3</f>
        <v>7.8E-2</v>
      </c>
      <c r="O28" s="102"/>
    </row>
    <row r="29" spans="1:25" s="1" customFormat="1">
      <c r="B29" s="103" t="s">
        <v>31</v>
      </c>
      <c r="C29" s="2">
        <v>118222.79</v>
      </c>
      <c r="D29" s="4">
        <v>98875.520000000004</v>
      </c>
      <c r="E29" s="32">
        <v>221036.22</v>
      </c>
      <c r="F29" s="31">
        <f>180.73*303.422</f>
        <v>54837.458060000004</v>
      </c>
      <c r="G29" s="33">
        <v>0</v>
      </c>
      <c r="H29" s="33"/>
      <c r="I29" s="44">
        <f t="shared" si="0"/>
        <v>0</v>
      </c>
      <c r="J29" s="35"/>
      <c r="K29" s="36"/>
      <c r="L29" s="10">
        <f>I29-J29+K29</f>
        <v>0</v>
      </c>
      <c r="M29" s="104"/>
      <c r="N29" s="191"/>
      <c r="O29" s="102"/>
    </row>
    <row r="30" spans="1:25" s="105" customFormat="1">
      <c r="B30" s="106" t="s">
        <v>54</v>
      </c>
      <c r="C30" s="107">
        <f>SUM(C28:C29)</f>
        <v>329089.64</v>
      </c>
      <c r="D30" s="49">
        <f>SUM(D28:D29)</f>
        <v>352935.8</v>
      </c>
      <c r="E30" s="50">
        <v>675128.56999999983</v>
      </c>
      <c r="F30" s="49">
        <f t="shared" ref="F30" si="7">SUM(F28:F29)</f>
        <v>813574.51806000003</v>
      </c>
      <c r="G30" s="51">
        <f>SUM(G28:G29)</f>
        <v>851524.87</v>
      </c>
      <c r="H30" s="51">
        <f>H28</f>
        <v>891820.09</v>
      </c>
      <c r="I30" s="36">
        <f t="shared" si="0"/>
        <v>40295.219999999972</v>
      </c>
      <c r="J30" s="105">
        <f t="shared" ref="J30:K30" si="8">SUM(J28:J29)</f>
        <v>0</v>
      </c>
      <c r="K30" s="108">
        <f t="shared" si="8"/>
        <v>13739.169999999998</v>
      </c>
      <c r="L30" s="107">
        <f>SUM(L28:L29)</f>
        <v>54034.38999999997</v>
      </c>
      <c r="M30" s="109">
        <f t="shared" si="3"/>
        <v>6.3456032705186835E-2</v>
      </c>
      <c r="N30" s="192">
        <f>O3</f>
        <v>7.8E-2</v>
      </c>
      <c r="O30" s="110"/>
    </row>
    <row r="31" spans="1:25" s="111" customFormat="1" ht="17" thickBot="1">
      <c r="B31" s="112"/>
      <c r="C31" s="113"/>
      <c r="D31" s="114"/>
      <c r="E31" s="115"/>
      <c r="F31" s="116"/>
      <c r="G31" s="117"/>
      <c r="H31" s="117"/>
      <c r="I31" s="118">
        <f t="shared" si="0"/>
        <v>0</v>
      </c>
      <c r="J31" s="119"/>
      <c r="K31" s="120"/>
      <c r="L31" s="121"/>
      <c r="M31" s="95"/>
      <c r="N31" s="193"/>
      <c r="O31" s="120"/>
    </row>
    <row r="32" spans="1:25" s="1" customFormat="1">
      <c r="C32" s="122"/>
      <c r="D32" s="82"/>
      <c r="E32" s="84"/>
      <c r="F32" s="123"/>
      <c r="G32" s="124"/>
      <c r="H32" s="124"/>
      <c r="I32" s="9">
        <f t="shared" si="0"/>
        <v>0</v>
      </c>
      <c r="J32" s="65"/>
      <c r="K32" s="87"/>
      <c r="L32" s="10"/>
      <c r="M32" s="101"/>
      <c r="N32" s="191"/>
      <c r="O32" s="102"/>
    </row>
    <row r="33" spans="1:15" s="47" customFormat="1">
      <c r="A33" s="47" t="s">
        <v>37</v>
      </c>
      <c r="B33" s="47" t="s">
        <v>55</v>
      </c>
      <c r="C33" s="10">
        <v>86851.8</v>
      </c>
      <c r="D33" s="31">
        <v>90821.98</v>
      </c>
      <c r="E33" s="32">
        <v>98773.28</v>
      </c>
      <c r="F33" s="31">
        <f>122804.23-113.91</f>
        <v>122690.31999999999</v>
      </c>
      <c r="G33" s="33">
        <v>123705.42</v>
      </c>
      <c r="H33" s="33">
        <v>131959.54</v>
      </c>
      <c r="I33" s="9">
        <f t="shared" si="0"/>
        <v>8254.1200000000099</v>
      </c>
      <c r="J33" s="36"/>
      <c r="K33" s="9"/>
      <c r="L33" s="10">
        <f>I33-J33+K33</f>
        <v>8254.1200000000099</v>
      </c>
      <c r="M33" s="53">
        <f t="shared" si="3"/>
        <v>6.6723996410181619E-2</v>
      </c>
      <c r="N33" s="191">
        <f>O3</f>
        <v>7.8E-2</v>
      </c>
    </row>
    <row r="34" spans="1:15" s="52" customFormat="1" ht="17" thickBot="1">
      <c r="C34" s="10"/>
      <c r="D34" s="56"/>
      <c r="E34" s="57"/>
      <c r="F34" s="56"/>
      <c r="G34" s="58"/>
      <c r="H34" s="58"/>
      <c r="J34" s="10"/>
      <c r="L34" s="10"/>
      <c r="M34" s="95"/>
      <c r="N34" s="190"/>
    </row>
    <row r="35" spans="1:15" s="125" customFormat="1" ht="17" thickBot="1">
      <c r="B35" s="125" t="s">
        <v>32</v>
      </c>
      <c r="C35" s="127">
        <f>C25+C30+C33</f>
        <v>801551.38000000012</v>
      </c>
      <c r="D35" s="128">
        <f t="shared" ref="D35" si="9">D30+D25+D33</f>
        <v>787842.45</v>
      </c>
      <c r="E35" s="129">
        <v>1525081.21</v>
      </c>
      <c r="F35" s="128">
        <f t="shared" ref="F35:L35" si="10">F25+F30+F33</f>
        <v>1921942.2276100002</v>
      </c>
      <c r="G35" s="130">
        <f t="shared" si="10"/>
        <v>2057262.8199999998</v>
      </c>
      <c r="H35" s="130">
        <f t="shared" si="10"/>
        <v>2444550.66</v>
      </c>
      <c r="I35" s="196">
        <f t="shared" si="10"/>
        <v>387287.83999999997</v>
      </c>
      <c r="J35" s="128">
        <f t="shared" si="10"/>
        <v>277956.19</v>
      </c>
      <c r="K35" s="128">
        <f t="shared" si="10"/>
        <v>40828.17</v>
      </c>
      <c r="L35" s="128">
        <f t="shared" si="10"/>
        <v>150159.81999999995</v>
      </c>
      <c r="M35" s="131">
        <f t="shared" si="3"/>
        <v>7.2990100506458364E-2</v>
      </c>
      <c r="N35" s="194">
        <f>O3</f>
        <v>7.8E-2</v>
      </c>
      <c r="O35" s="132"/>
    </row>
    <row r="36" spans="1:15" s="52" customFormat="1" ht="13">
      <c r="C36" s="65"/>
      <c r="D36" s="82"/>
      <c r="E36" s="133"/>
      <c r="F36" s="123"/>
      <c r="G36" s="124"/>
      <c r="H36" s="124"/>
      <c r="I36" s="134"/>
      <c r="J36" s="65"/>
      <c r="K36" s="87"/>
      <c r="L36" s="10"/>
      <c r="M36" s="135"/>
      <c r="N36" s="195"/>
    </row>
    <row r="37" spans="1:15" s="47" customFormat="1">
      <c r="A37" s="102" t="s">
        <v>30</v>
      </c>
      <c r="B37" s="47" t="s">
        <v>33</v>
      </c>
      <c r="C37" s="36">
        <v>117910.89</v>
      </c>
      <c r="D37" s="4">
        <v>10762.49</v>
      </c>
      <c r="E37" s="6"/>
      <c r="F37" s="5"/>
      <c r="G37" s="7"/>
      <c r="H37" s="7"/>
      <c r="I37" s="8"/>
      <c r="J37" s="36"/>
      <c r="K37" s="9"/>
      <c r="L37" s="36"/>
      <c r="M37" s="11"/>
      <c r="N37" s="136"/>
    </row>
    <row r="38" spans="1:15" s="47" customFormat="1">
      <c r="A38" s="102"/>
      <c r="B38" s="47" t="s">
        <v>34</v>
      </c>
      <c r="C38" s="36"/>
      <c r="D38" s="4">
        <f>'[1]Citizens Savings Detail'!K23</f>
        <v>90485.305989999993</v>
      </c>
      <c r="E38" s="32">
        <v>331123.19</v>
      </c>
      <c r="F38" s="31">
        <v>0</v>
      </c>
      <c r="G38" s="33"/>
      <c r="H38" s="33"/>
      <c r="I38" s="8"/>
      <c r="J38" s="36"/>
      <c r="K38" s="9"/>
      <c r="L38" s="36"/>
      <c r="M38" s="11"/>
      <c r="N38" s="136"/>
    </row>
    <row r="39" spans="1:15" s="47" customFormat="1">
      <c r="A39" s="102"/>
      <c r="B39" s="47" t="s">
        <v>35</v>
      </c>
      <c r="C39" s="36"/>
      <c r="D39" s="4"/>
      <c r="E39" s="32"/>
      <c r="F39" s="31">
        <v>325087.88</v>
      </c>
      <c r="G39" s="33">
        <v>327125.46999999997</v>
      </c>
      <c r="H39" s="33">
        <v>251300.72</v>
      </c>
      <c r="I39" s="8"/>
      <c r="J39" s="36"/>
      <c r="K39" s="9"/>
      <c r="L39" s="36"/>
      <c r="M39" s="11"/>
      <c r="N39" s="136"/>
    </row>
    <row r="40" spans="1:15" s="47" customFormat="1" ht="13">
      <c r="A40" s="102"/>
      <c r="B40" s="47" t="s">
        <v>36</v>
      </c>
      <c r="C40" s="36"/>
      <c r="D40" s="49">
        <f>SUM(D37:D38)</f>
        <v>101247.79599</v>
      </c>
      <c r="E40" s="6"/>
      <c r="F40" s="31">
        <v>0</v>
      </c>
      <c r="G40" s="33"/>
      <c r="H40" s="33"/>
      <c r="I40" s="9"/>
      <c r="J40" s="36"/>
      <c r="K40" s="9"/>
      <c r="L40" s="137"/>
      <c r="M40" s="11"/>
      <c r="N40" s="136"/>
    </row>
    <row r="41" spans="1:15" s="1" customFormat="1">
      <c r="C41" s="3"/>
      <c r="D41" s="4"/>
      <c r="E41" s="6"/>
      <c r="F41" s="5"/>
      <c r="G41" s="7"/>
      <c r="H41" s="7"/>
      <c r="I41" s="9"/>
      <c r="J41" s="3"/>
      <c r="K41" s="9"/>
      <c r="L41" s="138"/>
      <c r="M41" s="11"/>
      <c r="N41" s="37"/>
    </row>
    <row r="42" spans="1:15" s="52" customFormat="1" ht="13">
      <c r="A42" s="9" t="s">
        <v>37</v>
      </c>
      <c r="B42" s="52" t="s">
        <v>38</v>
      </c>
      <c r="C42" s="36">
        <v>40933.339999999997</v>
      </c>
      <c r="D42" s="4">
        <v>145828.93</v>
      </c>
      <c r="E42" s="32">
        <v>129536.67</v>
      </c>
      <c r="F42" s="31">
        <f>1044605.59+7500-F39</f>
        <v>727017.70999999985</v>
      </c>
      <c r="G42" s="33">
        <f>630961.1-G39</f>
        <v>303835.63</v>
      </c>
      <c r="H42" s="33">
        <f>867675.45-H39</f>
        <v>616374.73</v>
      </c>
      <c r="I42" s="9"/>
      <c r="J42" s="36"/>
      <c r="K42" s="9"/>
      <c r="L42" s="36"/>
      <c r="M42" s="11"/>
      <c r="N42" s="136"/>
    </row>
    <row r="43" spans="1:15" s="52" customFormat="1" ht="13">
      <c r="A43" s="9"/>
      <c r="B43" s="52" t="s">
        <v>39</v>
      </c>
      <c r="C43" s="36"/>
      <c r="D43" s="4">
        <f>'[1]Citizens Savings Detail'!K30</f>
        <v>48843.529900000001</v>
      </c>
      <c r="E43" s="32">
        <v>427303.08</v>
      </c>
      <c r="F43" s="31">
        <v>3792.35</v>
      </c>
      <c r="G43" s="33">
        <v>0</v>
      </c>
      <c r="H43" s="33">
        <v>0</v>
      </c>
      <c r="I43" s="9"/>
      <c r="J43" s="36"/>
      <c r="K43" s="9"/>
      <c r="L43" s="36"/>
      <c r="M43" s="11"/>
      <c r="N43" s="136"/>
    </row>
    <row r="44" spans="1:15" s="52" customFormat="1" ht="13">
      <c r="A44" s="9"/>
      <c r="B44" s="52" t="s">
        <v>40</v>
      </c>
      <c r="C44" s="36"/>
      <c r="D44" s="4"/>
      <c r="E44" s="32"/>
      <c r="F44" s="31"/>
      <c r="G44" s="33">
        <v>336712.86</v>
      </c>
      <c r="H44" s="33">
        <v>35980.17</v>
      </c>
      <c r="I44" s="9"/>
      <c r="J44" s="36"/>
      <c r="K44" s="9"/>
      <c r="L44" s="36"/>
      <c r="M44" s="11"/>
      <c r="N44" s="136"/>
    </row>
    <row r="45" spans="1:15" s="8" customFormat="1">
      <c r="B45" s="52" t="s">
        <v>41</v>
      </c>
      <c r="C45" s="36">
        <v>843</v>
      </c>
      <c r="D45" s="4">
        <v>4214.42</v>
      </c>
      <c r="E45" s="139">
        <v>2535.34</v>
      </c>
      <c r="F45" s="140">
        <v>85169.17</v>
      </c>
      <c r="G45" s="62">
        <v>8225.39</v>
      </c>
      <c r="H45" s="62">
        <v>8225.39</v>
      </c>
      <c r="J45" s="36"/>
      <c r="K45" s="9"/>
      <c r="L45" s="36"/>
      <c r="M45" s="11"/>
      <c r="N45" s="37"/>
    </row>
    <row r="46" spans="1:15" s="52" customFormat="1" ht="13">
      <c r="A46" s="9"/>
      <c r="B46" s="52" t="s">
        <v>42</v>
      </c>
      <c r="C46" s="36"/>
      <c r="D46" s="49">
        <f t="shared" ref="D46" si="11">SUM(D42:D45)</f>
        <v>198886.8799</v>
      </c>
      <c r="E46" s="32">
        <v>559375.09</v>
      </c>
      <c r="F46" s="31">
        <f>SUM(F42:F45)</f>
        <v>815979.22999999986</v>
      </c>
      <c r="G46" s="33">
        <f>SUM(G42:G45)</f>
        <v>648773.88</v>
      </c>
      <c r="H46" s="33">
        <f>SUM(H42:H45)</f>
        <v>660580.29</v>
      </c>
      <c r="I46" s="9"/>
      <c r="J46" s="36"/>
      <c r="K46" s="9"/>
      <c r="L46" s="137"/>
      <c r="M46" s="11"/>
      <c r="N46" s="136"/>
    </row>
    <row r="47" spans="1:15" s="1" customFormat="1">
      <c r="C47" s="3"/>
      <c r="D47" s="4"/>
      <c r="E47" s="6"/>
      <c r="F47" s="31"/>
      <c r="G47" s="33"/>
      <c r="H47" s="33"/>
      <c r="I47" s="8"/>
      <c r="J47" s="3"/>
      <c r="K47" s="9"/>
      <c r="L47" s="138"/>
      <c r="M47" s="11"/>
      <c r="N47" s="37"/>
    </row>
    <row r="48" spans="1:15" s="8" customFormat="1">
      <c r="A48" s="8" t="s">
        <v>18</v>
      </c>
      <c r="B48" s="52" t="s">
        <v>43</v>
      </c>
      <c r="C48" s="36">
        <v>131151.76999999999</v>
      </c>
      <c r="D48" s="4"/>
      <c r="E48" s="6"/>
      <c r="F48" s="31"/>
      <c r="G48" s="33"/>
      <c r="H48" s="33"/>
      <c r="J48" s="141"/>
      <c r="K48" s="9"/>
      <c r="L48" s="36"/>
      <c r="M48" s="11"/>
      <c r="N48" s="37"/>
    </row>
    <row r="49" spans="1:15" s="149" customFormat="1" ht="15" thickBot="1">
      <c r="B49" s="112" t="s">
        <v>44</v>
      </c>
      <c r="C49" s="150"/>
      <c r="D49" s="151"/>
      <c r="E49" s="152"/>
      <c r="F49" s="151">
        <f>F39+F46</f>
        <v>1141067.1099999999</v>
      </c>
      <c r="G49" s="153">
        <f>G39+G46</f>
        <v>975899.35</v>
      </c>
      <c r="H49" s="153">
        <f>H46+H39</f>
        <v>911881.01</v>
      </c>
      <c r="J49" s="150"/>
      <c r="L49" s="154"/>
      <c r="M49" s="155"/>
      <c r="N49" s="156"/>
    </row>
    <row r="50" spans="1:15" s="8" customFormat="1">
      <c r="B50" s="52"/>
      <c r="C50" s="36"/>
      <c r="D50" s="31"/>
      <c r="E50" s="6"/>
      <c r="F50" s="31"/>
      <c r="G50" s="33"/>
      <c r="H50" s="33"/>
      <c r="I50" s="9"/>
      <c r="J50" s="36"/>
      <c r="K50" s="9"/>
      <c r="L50" s="137"/>
      <c r="M50" s="11"/>
      <c r="N50" s="37"/>
    </row>
    <row r="51" spans="1:15" s="8" customFormat="1">
      <c r="A51" s="187" t="s">
        <v>30</v>
      </c>
      <c r="B51" s="52" t="s">
        <v>49</v>
      </c>
      <c r="C51" s="36"/>
      <c r="D51" s="31"/>
      <c r="E51" s="6"/>
      <c r="F51" s="31">
        <v>0</v>
      </c>
      <c r="G51" s="33">
        <v>1100000</v>
      </c>
      <c r="H51" s="33">
        <v>1100000</v>
      </c>
      <c r="I51" s="9"/>
      <c r="J51" s="36"/>
      <c r="K51" s="9"/>
      <c r="L51" s="137"/>
      <c r="M51" s="11"/>
      <c r="N51" s="37"/>
    </row>
    <row r="52" spans="1:15" s="8" customFormat="1">
      <c r="A52" s="9" t="s">
        <v>37</v>
      </c>
      <c r="B52" s="52" t="s">
        <v>45</v>
      </c>
      <c r="C52" s="36"/>
      <c r="D52" s="31"/>
      <c r="E52" s="6"/>
      <c r="F52" s="31">
        <v>0</v>
      </c>
      <c r="G52" s="33">
        <v>-325000</v>
      </c>
      <c r="H52" s="33">
        <v>0</v>
      </c>
      <c r="I52" s="9"/>
      <c r="J52" s="36"/>
      <c r="K52" s="9"/>
      <c r="L52" s="137"/>
      <c r="M52" s="11"/>
      <c r="N52" s="37"/>
    </row>
    <row r="53" spans="1:15" s="8" customFormat="1" ht="17" thickBot="1">
      <c r="A53" s="120"/>
      <c r="B53" s="30"/>
      <c r="C53" s="142"/>
      <c r="D53" s="143"/>
      <c r="E53" s="144"/>
      <c r="F53" s="143"/>
      <c r="G53" s="145"/>
      <c r="H53" s="145"/>
      <c r="I53" s="120"/>
      <c r="J53" s="142"/>
      <c r="K53" s="120"/>
      <c r="L53" s="146"/>
      <c r="M53" s="147"/>
      <c r="N53" s="148"/>
    </row>
    <row r="54" spans="1:15" s="8" customFormat="1" ht="17" thickBot="1">
      <c r="A54" s="157"/>
      <c r="B54" s="125" t="s">
        <v>46</v>
      </c>
      <c r="C54" s="158"/>
      <c r="D54" s="159"/>
      <c r="E54" s="160"/>
      <c r="F54" s="159"/>
      <c r="G54" s="130">
        <f>G52+G51</f>
        <v>775000</v>
      </c>
      <c r="H54" s="130">
        <f>SUM(H51:H52)</f>
        <v>1100000</v>
      </c>
      <c r="I54" s="157"/>
      <c r="J54" s="158"/>
      <c r="K54" s="157"/>
      <c r="L54" s="161"/>
      <c r="M54" s="162"/>
      <c r="N54" s="163"/>
    </row>
    <row r="55" spans="1:15" s="8" customFormat="1">
      <c r="B55" s="52"/>
      <c r="C55" s="36"/>
      <c r="D55" s="4"/>
      <c r="E55" s="6"/>
      <c r="F55" s="31"/>
      <c r="G55" s="33"/>
      <c r="H55" s="33"/>
      <c r="J55" s="36"/>
      <c r="K55" s="9"/>
      <c r="L55" s="36"/>
      <c r="M55" s="11"/>
      <c r="N55" s="37"/>
    </row>
    <row r="56" spans="1:15" s="1" customFormat="1" ht="17" thickBot="1">
      <c r="C56" s="3"/>
      <c r="D56" s="4"/>
      <c r="E56" s="6"/>
      <c r="F56" s="31"/>
      <c r="G56" s="33"/>
      <c r="H56" s="33"/>
      <c r="I56" s="8"/>
      <c r="J56" s="3"/>
      <c r="K56" s="9"/>
      <c r="L56" s="10"/>
      <c r="M56" s="11"/>
      <c r="N56" s="37"/>
    </row>
    <row r="57" spans="1:15" s="125" customFormat="1" ht="17" thickBot="1">
      <c r="B57" s="164" t="s">
        <v>47</v>
      </c>
      <c r="C57" s="127">
        <f>C42+C37+C35+C48+C45</f>
        <v>1092390.3800000001</v>
      </c>
      <c r="D57" s="128">
        <f>D46+D40+D35</f>
        <v>1087977.12589</v>
      </c>
      <c r="E57" s="129">
        <v>2415579.4900000002</v>
      </c>
      <c r="F57" s="128">
        <f>F46+F39+F35</f>
        <v>3063009.3376099998</v>
      </c>
      <c r="G57" s="130">
        <f>G35+G49+G54</f>
        <v>3808162.17</v>
      </c>
      <c r="H57" s="130">
        <f>H35+H49+H54</f>
        <v>4456431.67</v>
      </c>
      <c r="I57" s="126"/>
      <c r="J57" s="127"/>
      <c r="K57" s="127"/>
      <c r="L57" s="127"/>
      <c r="M57" s="165"/>
      <c r="N57" s="166"/>
    </row>
    <row r="58" spans="1:15" s="125" customFormat="1" ht="17" thickBot="1">
      <c r="B58" s="164"/>
      <c r="C58" s="127"/>
      <c r="D58" s="128"/>
      <c r="E58" s="129"/>
      <c r="F58" s="128"/>
      <c r="G58" s="130"/>
      <c r="H58" s="130"/>
      <c r="J58" s="127"/>
      <c r="L58" s="127"/>
      <c r="M58" s="165"/>
      <c r="N58" s="166"/>
    </row>
    <row r="59" spans="1:15" s="171" customFormat="1" ht="17" thickBot="1">
      <c r="B59" s="167" t="s">
        <v>48</v>
      </c>
      <c r="C59" s="168">
        <v>445045</v>
      </c>
      <c r="D59" s="159">
        <v>348699.23</v>
      </c>
      <c r="E59" s="169">
        <v>497147.68</v>
      </c>
      <c r="F59" s="159">
        <v>521276.84</v>
      </c>
      <c r="G59" s="170">
        <v>521301.78</v>
      </c>
      <c r="H59" s="170">
        <v>545885.89</v>
      </c>
      <c r="I59" s="167">
        <f>H59-G59</f>
        <v>24584.109999999986</v>
      </c>
      <c r="J59" s="168"/>
      <c r="K59" s="167">
        <f>4928.89+4928.89</f>
        <v>9857.7800000000007</v>
      </c>
      <c r="L59" s="168">
        <f>I59-J59+K59</f>
        <v>34441.889999999985</v>
      </c>
      <c r="M59" s="172">
        <f>L59/F59</f>
        <v>6.6072166183327813E-2</v>
      </c>
      <c r="N59" s="166">
        <v>5.0000000000000001E-3</v>
      </c>
      <c r="O59" s="157"/>
    </row>
    <row r="60" spans="1:15" s="173" customFormat="1">
      <c r="D60" s="174"/>
      <c r="E60" s="176"/>
      <c r="F60" s="175"/>
      <c r="G60" s="175"/>
      <c r="H60" s="175"/>
      <c r="K60" s="177"/>
      <c r="L60" s="178"/>
      <c r="M60" s="179"/>
      <c r="N60" s="1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677E6-4759-C84C-A8C3-1AF4E141B421}">
  <dimension ref="A1:W60"/>
  <sheetViews>
    <sheetView topLeftCell="A39" workbookViewId="0">
      <selection activeCell="H60" sqref="H60"/>
    </sheetView>
  </sheetViews>
  <sheetFormatPr baseColWidth="10" defaultRowHeight="16"/>
  <cols>
    <col min="1" max="1" width="3" customWidth="1"/>
    <col min="2" max="2" width="40.83203125" customWidth="1"/>
    <col min="3" max="3" width="14" bestFit="1" customWidth="1"/>
    <col min="4" max="4" width="14.33203125" bestFit="1" customWidth="1"/>
    <col min="5" max="6" width="14" bestFit="1" customWidth="1"/>
    <col min="7" max="8" width="14.1640625" bestFit="1" customWidth="1"/>
    <col min="9" max="9" width="14" bestFit="1" customWidth="1"/>
    <col min="10" max="10" width="12.33203125" bestFit="1" customWidth="1"/>
    <col min="11" max="11" width="12" bestFit="1" customWidth="1"/>
    <col min="12" max="12" width="12.83203125" bestFit="1" customWidth="1"/>
    <col min="13" max="13" width="11" bestFit="1" customWidth="1"/>
  </cols>
  <sheetData>
    <row r="1" spans="1:15" s="8" customFormat="1" ht="17" thickBot="1">
      <c r="B1" s="12"/>
      <c r="C1" s="3"/>
      <c r="D1" s="13"/>
      <c r="E1" s="14"/>
      <c r="F1" s="15" t="s">
        <v>0</v>
      </c>
      <c r="G1" s="16" t="s">
        <v>1</v>
      </c>
      <c r="H1" s="16" t="s">
        <v>2</v>
      </c>
      <c r="J1" s="3"/>
      <c r="K1" s="9"/>
      <c r="L1" s="183" t="s">
        <v>50</v>
      </c>
      <c r="M1" s="185" t="s">
        <v>50</v>
      </c>
    </row>
    <row r="2" spans="1:15" s="30" customFormat="1" ht="18" customHeight="1" thickTop="1" thickBot="1">
      <c r="A2" s="18" t="s">
        <v>52</v>
      </c>
      <c r="B2" s="19"/>
      <c r="C2" s="21">
        <v>38898</v>
      </c>
      <c r="D2" s="22">
        <v>40359</v>
      </c>
      <c r="E2" s="23">
        <v>42185</v>
      </c>
      <c r="F2" s="22">
        <v>43281</v>
      </c>
      <c r="G2" s="24">
        <v>43646</v>
      </c>
      <c r="H2" s="24">
        <v>43921</v>
      </c>
      <c r="I2" s="25" t="s">
        <v>4</v>
      </c>
      <c r="J2" s="26" t="s">
        <v>5</v>
      </c>
      <c r="K2" s="27" t="s">
        <v>6</v>
      </c>
      <c r="L2" s="184" t="s">
        <v>51</v>
      </c>
      <c r="M2" s="186" t="s">
        <v>7</v>
      </c>
    </row>
    <row r="3" spans="1:15" s="1" customFormat="1" ht="17" thickTop="1">
      <c r="B3" s="1" t="s">
        <v>10</v>
      </c>
      <c r="C3" s="3">
        <v>107880.5</v>
      </c>
      <c r="D3" s="4">
        <v>42740.85</v>
      </c>
      <c r="E3" s="32">
        <v>68736.680000000008</v>
      </c>
      <c r="F3" s="31">
        <f>180.73*75.358</f>
        <v>13619.45134</v>
      </c>
      <c r="G3" s="33">
        <v>0</v>
      </c>
      <c r="H3" s="33"/>
      <c r="I3" s="9"/>
      <c r="J3" s="3"/>
      <c r="K3" s="35"/>
      <c r="L3" s="36">
        <f>I3-J3+K3</f>
        <v>0</v>
      </c>
      <c r="M3" s="34"/>
    </row>
    <row r="4" spans="1:15" s="38" customFormat="1">
      <c r="B4" s="38" t="s">
        <v>11</v>
      </c>
      <c r="C4" s="39"/>
      <c r="D4" s="4">
        <v>57541.57</v>
      </c>
      <c r="E4" s="32">
        <v>85630.99</v>
      </c>
      <c r="F4" s="31">
        <f>130901.36-79</f>
        <v>130822.36</v>
      </c>
      <c r="G4" s="33">
        <v>141779.75</v>
      </c>
      <c r="H4" s="33">
        <v>119354.46</v>
      </c>
      <c r="I4" s="41">
        <f t="shared" ref="I4:I33" si="0">H4-G4</f>
        <v>-22425.289999999994</v>
      </c>
      <c r="J4" s="42"/>
      <c r="K4" s="43">
        <f>1747+1757+1774</f>
        <v>5278</v>
      </c>
      <c r="L4" s="44">
        <f>I4-J4+K4</f>
        <v>-17147.289999999994</v>
      </c>
      <c r="M4" s="45">
        <f>L4/G4</f>
        <v>-0.12094315302432113</v>
      </c>
      <c r="N4" s="8"/>
      <c r="O4" s="8"/>
    </row>
    <row r="5" spans="1:15" s="47" customFormat="1">
      <c r="A5" s="47" t="s">
        <v>12</v>
      </c>
      <c r="B5" s="47" t="s">
        <v>13</v>
      </c>
      <c r="C5" s="48"/>
      <c r="D5" s="49">
        <f>SUM(D3:D4)</f>
        <v>100282.42</v>
      </c>
      <c r="E5" s="50">
        <v>154367.67000000001</v>
      </c>
      <c r="F5" s="49">
        <f t="shared" ref="F5" si="1">SUM(F3:F4)</f>
        <v>144441.81134000001</v>
      </c>
      <c r="G5" s="51">
        <f>SUM(G3:G4)</f>
        <v>141779.75</v>
      </c>
      <c r="H5" s="51">
        <f>SUM(H3:H4)</f>
        <v>119354.46</v>
      </c>
      <c r="I5" s="9">
        <f t="shared" si="0"/>
        <v>-22425.289999999994</v>
      </c>
      <c r="J5" s="10">
        <f t="shared" ref="J5:L5" si="2">SUM(J3:J4)</f>
        <v>0</v>
      </c>
      <c r="K5" s="52">
        <f t="shared" si="2"/>
        <v>5278</v>
      </c>
      <c r="L5" s="10">
        <f t="shared" si="2"/>
        <v>-17147.289999999994</v>
      </c>
      <c r="M5" s="53">
        <f t="shared" ref="M5:M36" si="3">L5/G5</f>
        <v>-0.12094315302432113</v>
      </c>
      <c r="N5" s="52"/>
      <c r="O5" s="52"/>
    </row>
    <row r="6" spans="1:15" s="1" customFormat="1">
      <c r="C6" s="3"/>
      <c r="D6" s="55"/>
      <c r="E6" s="57"/>
      <c r="F6" s="56"/>
      <c r="G6" s="58"/>
      <c r="H6" s="58"/>
      <c r="I6" s="9">
        <f t="shared" si="0"/>
        <v>0</v>
      </c>
      <c r="J6" s="3"/>
      <c r="K6" s="9"/>
      <c r="L6" s="10"/>
      <c r="M6" s="53"/>
      <c r="N6" s="8"/>
      <c r="O6" s="8"/>
    </row>
    <row r="7" spans="1:15" s="1" customFormat="1">
      <c r="B7" s="2" t="s">
        <v>14</v>
      </c>
      <c r="C7" s="2">
        <v>243337.69</v>
      </c>
      <c r="D7" s="4">
        <v>98803.3</v>
      </c>
      <c r="E7" s="32">
        <v>128325.54</v>
      </c>
      <c r="F7" s="60">
        <f>142.477*180.73</f>
        <v>25749.868210000001</v>
      </c>
      <c r="G7" s="61">
        <v>0</v>
      </c>
      <c r="H7" s="61"/>
      <c r="I7" s="9">
        <f t="shared" si="0"/>
        <v>0</v>
      </c>
      <c r="J7" s="3">
        <v>0</v>
      </c>
      <c r="K7" s="35"/>
      <c r="L7" s="36">
        <f>I7-J7+K7</f>
        <v>0</v>
      </c>
      <c r="M7" s="53"/>
      <c r="N7" s="8"/>
      <c r="O7" s="8"/>
    </row>
    <row r="8" spans="1:15" s="38" customFormat="1">
      <c r="B8" s="38" t="s">
        <v>15</v>
      </c>
      <c r="C8" s="40"/>
      <c r="D8" s="4">
        <v>106514.53</v>
      </c>
      <c r="E8" s="32">
        <v>158702.09</v>
      </c>
      <c r="F8" s="31">
        <f>235289.69-143</f>
        <v>235146.69</v>
      </c>
      <c r="G8" s="33">
        <v>252755.25</v>
      </c>
      <c r="H8" s="62">
        <v>210740.82</v>
      </c>
      <c r="I8" s="41">
        <f t="shared" si="0"/>
        <v>-42014.429999999993</v>
      </c>
      <c r="J8" s="42"/>
      <c r="K8" s="43">
        <f>3778+3791+3814</f>
        <v>11383</v>
      </c>
      <c r="L8" s="44">
        <f>I8-J8+K8</f>
        <v>-30631.429999999993</v>
      </c>
      <c r="M8" s="45">
        <f t="shared" si="3"/>
        <v>-0.12119008408331773</v>
      </c>
      <c r="N8" s="8"/>
      <c r="O8" s="8"/>
    </row>
    <row r="9" spans="1:15" s="47" customFormat="1">
      <c r="A9" s="47" t="s">
        <v>16</v>
      </c>
      <c r="B9" s="47" t="s">
        <v>17</v>
      </c>
      <c r="C9" s="10"/>
      <c r="D9" s="49">
        <f>SUM(D7:D8)</f>
        <v>205317.83000000002</v>
      </c>
      <c r="E9" s="50">
        <v>287027.63</v>
      </c>
      <c r="F9" s="49">
        <f t="shared" ref="F9" si="4">SUM(F7:F8)</f>
        <v>260896.55820999999</v>
      </c>
      <c r="G9" s="51">
        <f>SUM(G7:G8)</f>
        <v>252755.25</v>
      </c>
      <c r="H9" s="64">
        <f>SUM(H7:H8)</f>
        <v>210740.82</v>
      </c>
      <c r="I9" s="9">
        <f t="shared" si="0"/>
        <v>-42014.429999999993</v>
      </c>
      <c r="J9" s="10">
        <f>SUM(J7:J8)</f>
        <v>0</v>
      </c>
      <c r="K9" s="52">
        <f t="shared" ref="K9:L9" si="5">SUM(K7:K8)</f>
        <v>11383</v>
      </c>
      <c r="L9" s="10">
        <f t="shared" si="5"/>
        <v>-30631.429999999993</v>
      </c>
      <c r="M9" s="53">
        <f t="shared" si="3"/>
        <v>-0.12119008408331773</v>
      </c>
    </row>
    <row r="10" spans="1:15" s="1" customFormat="1">
      <c r="C10" s="65"/>
      <c r="D10" s="67"/>
      <c r="E10" s="69"/>
      <c r="F10" s="68"/>
      <c r="G10" s="70"/>
      <c r="H10" s="70"/>
      <c r="I10" s="9">
        <f t="shared" si="0"/>
        <v>0</v>
      </c>
      <c r="J10" s="66"/>
      <c r="K10" s="71"/>
      <c r="L10" s="10"/>
      <c r="M10" s="53"/>
    </row>
    <row r="11" spans="1:15" s="47" customFormat="1">
      <c r="A11" s="47" t="s">
        <v>18</v>
      </c>
      <c r="B11" s="47" t="s">
        <v>19</v>
      </c>
      <c r="C11" s="10">
        <v>34391.75</v>
      </c>
      <c r="D11" s="31">
        <v>38484.42</v>
      </c>
      <c r="E11" s="32">
        <v>81631.039999999994</v>
      </c>
      <c r="F11" s="31">
        <f>87489.7-47.7</f>
        <v>87442</v>
      </c>
      <c r="G11" s="33">
        <v>85839.66</v>
      </c>
      <c r="H11" s="33">
        <v>73854.289999999994</v>
      </c>
      <c r="I11" s="9">
        <f t="shared" si="0"/>
        <v>-11985.37000000001</v>
      </c>
      <c r="J11" s="36">
        <v>2000</v>
      </c>
      <c r="K11" s="52">
        <f>1058+1063+1076</f>
        <v>3197</v>
      </c>
      <c r="L11" s="10">
        <f>I11-J11+K11</f>
        <v>-10788.37000000001</v>
      </c>
      <c r="M11" s="53">
        <f t="shared" si="3"/>
        <v>-0.12568048382297892</v>
      </c>
    </row>
    <row r="12" spans="1:15" s="47" customFormat="1">
      <c r="C12" s="10"/>
      <c r="D12" s="31"/>
      <c r="E12" s="32"/>
      <c r="F12" s="31"/>
      <c r="G12" s="33"/>
      <c r="H12" s="33"/>
      <c r="I12" s="9"/>
      <c r="J12" s="10"/>
      <c r="K12" s="52"/>
      <c r="L12" s="10"/>
      <c r="M12" s="53"/>
    </row>
    <row r="13" spans="1:15" s="47" customFormat="1">
      <c r="A13" s="47" t="s">
        <v>20</v>
      </c>
      <c r="B13" s="47" t="s">
        <v>63</v>
      </c>
      <c r="C13" s="10"/>
      <c r="D13" s="72"/>
      <c r="E13" s="32">
        <v>120636.46</v>
      </c>
      <c r="F13" s="31">
        <f>151210.68-82.68</f>
        <v>151128</v>
      </c>
      <c r="G13" s="33">
        <v>150250.49</v>
      </c>
      <c r="H13" s="33">
        <v>127709.82</v>
      </c>
      <c r="I13" s="9">
        <f t="shared" si="0"/>
        <v>-22540.669999999984</v>
      </c>
      <c r="J13" s="36">
        <f>200+1000</f>
        <v>1200</v>
      </c>
      <c r="K13" s="52">
        <f>1817+1830+1857</f>
        <v>5504</v>
      </c>
      <c r="L13" s="10">
        <f>I13-J13+K13</f>
        <v>-18236.669999999984</v>
      </c>
      <c r="M13" s="53">
        <f t="shared" si="3"/>
        <v>-0.12137511165520981</v>
      </c>
    </row>
    <row r="14" spans="1:15">
      <c r="B14" s="182"/>
      <c r="C14" s="73"/>
      <c r="E14" s="74"/>
      <c r="F14" s="75"/>
      <c r="G14" s="76"/>
      <c r="H14" s="76"/>
      <c r="I14" s="36"/>
      <c r="K14" s="77"/>
      <c r="L14" s="73"/>
      <c r="M14" s="53"/>
    </row>
    <row r="15" spans="1:15" s="47" customFormat="1">
      <c r="A15" s="47" t="s">
        <v>22</v>
      </c>
      <c r="B15" s="47" t="s">
        <v>62</v>
      </c>
      <c r="C15" s="10"/>
      <c r="D15" s="31"/>
      <c r="E15" s="32">
        <v>51112.78</v>
      </c>
      <c r="F15" s="31">
        <f>117801.18+250</f>
        <v>118051.18</v>
      </c>
      <c r="G15" s="33">
        <v>118927.03</v>
      </c>
      <c r="H15" s="33">
        <v>100921.42</v>
      </c>
      <c r="I15" s="9">
        <f t="shared" si="0"/>
        <v>-18005.61</v>
      </c>
      <c r="J15" s="36">
        <f>350</f>
        <v>350</v>
      </c>
      <c r="K15" s="52">
        <f>1230+1272+1356</f>
        <v>3858</v>
      </c>
      <c r="L15" s="10">
        <f>I15-J15+K15</f>
        <v>-14497.61</v>
      </c>
      <c r="M15" s="53">
        <f t="shared" si="3"/>
        <v>-0.12190340581110956</v>
      </c>
    </row>
    <row r="16" spans="1:15" s="47" customFormat="1">
      <c r="C16" s="10"/>
      <c r="D16" s="31"/>
      <c r="E16" s="32"/>
      <c r="F16" s="31"/>
      <c r="G16" s="33"/>
      <c r="H16" s="33"/>
      <c r="I16" s="9"/>
      <c r="J16" s="10"/>
      <c r="K16" s="52"/>
      <c r="L16" s="10"/>
      <c r="M16" s="53"/>
    </row>
    <row r="17" spans="1:23" s="47" customFormat="1">
      <c r="A17" s="47" t="s">
        <v>24</v>
      </c>
      <c r="B17" s="47" t="s">
        <v>61</v>
      </c>
      <c r="C17" s="10"/>
      <c r="D17" s="31"/>
      <c r="E17" s="32">
        <v>56403.78</v>
      </c>
      <c r="F17" s="31">
        <v>160539.82999999999</v>
      </c>
      <c r="G17" s="33">
        <v>168629.77</v>
      </c>
      <c r="H17" s="33">
        <v>146658.95000000001</v>
      </c>
      <c r="I17" s="9">
        <f t="shared" si="0"/>
        <v>-21970.819999999978</v>
      </c>
      <c r="J17" s="36">
        <v>5000</v>
      </c>
      <c r="K17" s="52">
        <f>1834+1918+1994</f>
        <v>5746</v>
      </c>
      <c r="L17" s="10">
        <f>I17-J17+K17</f>
        <v>-21224.819999999978</v>
      </c>
      <c r="M17" s="53">
        <f t="shared" si="3"/>
        <v>-0.12586638764910835</v>
      </c>
    </row>
    <row r="18" spans="1:23" s="47" customFormat="1">
      <c r="C18" s="10"/>
      <c r="D18" s="31"/>
      <c r="E18" s="32"/>
      <c r="F18" s="31"/>
      <c r="G18" s="33"/>
      <c r="H18" s="33"/>
      <c r="I18" s="9"/>
      <c r="J18" s="10"/>
      <c r="K18" s="52"/>
      <c r="L18" s="10"/>
      <c r="M18" s="53"/>
    </row>
    <row r="19" spans="1:23" s="47" customFormat="1">
      <c r="A19" s="47" t="s">
        <v>26</v>
      </c>
      <c r="B19" s="47" t="s">
        <v>56</v>
      </c>
      <c r="C19" s="10"/>
      <c r="D19" s="31"/>
      <c r="E19" s="32"/>
      <c r="F19" s="31">
        <f>63028.01+150</f>
        <v>63178.01</v>
      </c>
      <c r="G19" s="33">
        <v>62612.83</v>
      </c>
      <c r="H19" s="33">
        <v>52806.84</v>
      </c>
      <c r="I19" s="9">
        <f t="shared" si="0"/>
        <v>-9805.9900000000052</v>
      </c>
      <c r="J19" s="10"/>
      <c r="K19" s="52">
        <f>732+740+757</f>
        <v>2229</v>
      </c>
      <c r="L19" s="10">
        <f>I19-J19+K19</f>
        <v>-7576.9900000000052</v>
      </c>
      <c r="M19" s="53">
        <f t="shared" si="3"/>
        <v>-0.12101337697082219</v>
      </c>
    </row>
    <row r="20" spans="1:23" s="47" customFormat="1">
      <c r="C20" s="10"/>
      <c r="D20" s="31"/>
      <c r="E20" s="32"/>
      <c r="F20" s="31"/>
      <c r="G20" s="33"/>
      <c r="H20" s="33"/>
      <c r="I20" s="9"/>
      <c r="J20" s="10"/>
      <c r="K20" s="52"/>
      <c r="L20" s="10"/>
      <c r="M20" s="53"/>
    </row>
    <row r="21" spans="1:23" s="47" customFormat="1">
      <c r="A21" s="47" t="s">
        <v>27</v>
      </c>
      <c r="B21" s="47" t="s">
        <v>28</v>
      </c>
      <c r="C21" s="10"/>
      <c r="D21" s="31"/>
      <c r="E21" s="32"/>
      <c r="F21" s="31">
        <v>0</v>
      </c>
      <c r="G21" s="33">
        <v>101237.75</v>
      </c>
      <c r="H21" s="33">
        <v>254481.66</v>
      </c>
      <c r="I21" s="9">
        <f t="shared" si="0"/>
        <v>153243.91</v>
      </c>
      <c r="J21" s="36">
        <f>209356.19</f>
        <v>209356.19</v>
      </c>
      <c r="K21" s="52">
        <f>1261+1261+1935</f>
        <v>4457</v>
      </c>
      <c r="L21" s="10">
        <f>I21-J21+K21</f>
        <v>-51655.28</v>
      </c>
      <c r="M21" s="81">
        <f>L21/(G21+J21)</f>
        <v>-0.16631129377475942</v>
      </c>
    </row>
    <row r="22" spans="1:23" s="47" customFormat="1">
      <c r="C22" s="10"/>
      <c r="D22" s="31"/>
      <c r="E22" s="32"/>
      <c r="F22" s="31"/>
      <c r="G22" s="33"/>
      <c r="H22" s="33"/>
      <c r="I22" s="9"/>
      <c r="J22" s="10"/>
      <c r="K22" s="52"/>
      <c r="L22" s="10"/>
      <c r="M22" s="81"/>
    </row>
    <row r="23" spans="1:23" s="47" customFormat="1">
      <c r="A23" s="47" t="s">
        <v>58</v>
      </c>
      <c r="B23" s="197" t="s">
        <v>59</v>
      </c>
      <c r="C23" s="197"/>
      <c r="D23" s="10"/>
      <c r="E23" s="10"/>
      <c r="F23" s="31"/>
      <c r="G23" s="33">
        <v>0</v>
      </c>
      <c r="H23" s="33">
        <v>51529.23</v>
      </c>
      <c r="I23" s="9">
        <f>H23-0</f>
        <v>51529.23</v>
      </c>
      <c r="J23" s="36">
        <f>44685+315+5000+10000+250+100+700</f>
        <v>61050</v>
      </c>
      <c r="K23" s="52">
        <f>0+0+806</f>
        <v>806</v>
      </c>
      <c r="L23" s="10">
        <f t="shared" ref="L23" si="6">I23-J23+K23</f>
        <v>-8714.7699999999968</v>
      </c>
      <c r="M23" s="81">
        <f>L23/J23</f>
        <v>-0.14274807534807529</v>
      </c>
      <c r="N23" s="178"/>
      <c r="O23" s="178"/>
      <c r="P23" s="178"/>
      <c r="Q23" s="9"/>
      <c r="R23" s="52"/>
      <c r="S23" s="52"/>
      <c r="T23" s="52"/>
      <c r="U23" s="101"/>
      <c r="V23" s="199"/>
      <c r="W23" s="52"/>
    </row>
    <row r="24" spans="1:23" s="1" customFormat="1">
      <c r="C24" s="65"/>
      <c r="D24" s="82"/>
      <c r="E24" s="84"/>
      <c r="F24" s="83"/>
      <c r="G24" s="85"/>
      <c r="H24" s="86"/>
      <c r="I24" s="41"/>
      <c r="J24" s="65"/>
      <c r="K24" s="87"/>
      <c r="L24" s="10"/>
      <c r="M24" s="45"/>
    </row>
    <row r="25" spans="1:23" s="88" customFormat="1" ht="17" thickBot="1">
      <c r="B25" s="89" t="s">
        <v>29</v>
      </c>
      <c r="C25" s="90">
        <f>SUM(C3:C24)</f>
        <v>385609.94</v>
      </c>
      <c r="D25" s="91">
        <f>D5+D9+D11</f>
        <v>344084.67</v>
      </c>
      <c r="E25" s="92">
        <v>751179.36</v>
      </c>
      <c r="F25" s="91">
        <f>F19+F17+F15+F13+F11+F9+F5</f>
        <v>985677.38954999996</v>
      </c>
      <c r="G25" s="93">
        <f>G21+G19+G17+G15+G13+G11+G9+G5</f>
        <v>1082032.53</v>
      </c>
      <c r="H25" s="93">
        <f>H5+H9+H11+H13+H15+H17+H19+H21+H23</f>
        <v>1138057.49</v>
      </c>
      <c r="I25" s="20">
        <f>H25-G25</f>
        <v>56024.959999999963</v>
      </c>
      <c r="J25" s="94">
        <f>J5+J9+J11+J13+J15+J17+J19+J21+J23</f>
        <v>278956.19</v>
      </c>
      <c r="K25" s="94">
        <f>K5+K9+K11+K13+K15+K17+K19+K21</f>
        <v>41652</v>
      </c>
      <c r="L25" s="90">
        <f>L5+L9+L11+L13+L15+L17+L19+L21+L23</f>
        <v>-180473.22999999995</v>
      </c>
      <c r="M25" s="95">
        <f>L25/G25</f>
        <v>-0.16679094666405264</v>
      </c>
    </row>
    <row r="26" spans="1:23" s="52" customFormat="1" ht="18" thickTop="1" thickBot="1">
      <c r="A26" s="97" t="s">
        <v>53</v>
      </c>
      <c r="B26" s="98"/>
      <c r="C26" s="10"/>
      <c r="D26" s="56"/>
      <c r="E26" s="57"/>
      <c r="F26" s="99"/>
      <c r="G26" s="100"/>
      <c r="H26" s="100"/>
      <c r="I26" s="9"/>
      <c r="J26" s="10"/>
      <c r="L26" s="10"/>
      <c r="M26" s="101"/>
    </row>
    <row r="27" spans="1:23" s="1" customFormat="1" ht="17" thickTop="1">
      <c r="C27" s="3"/>
      <c r="D27" s="55"/>
      <c r="E27" s="57"/>
      <c r="F27" s="99"/>
      <c r="G27" s="100"/>
      <c r="H27" s="100"/>
      <c r="I27" s="9"/>
      <c r="J27" s="3"/>
      <c r="K27" s="9"/>
      <c r="L27" s="10"/>
      <c r="M27" s="53"/>
    </row>
    <row r="28" spans="1:23" s="1" customFormat="1">
      <c r="A28" s="1" t="s">
        <v>30</v>
      </c>
      <c r="B28" s="102" t="s">
        <v>64</v>
      </c>
      <c r="C28" s="3">
        <v>210866.85</v>
      </c>
      <c r="D28" s="4">
        <v>254060.28</v>
      </c>
      <c r="E28" s="32">
        <v>454092.35</v>
      </c>
      <c r="F28" s="31">
        <f>759174.06-437</f>
        <v>758737.06</v>
      </c>
      <c r="G28" s="33">
        <v>851524.87</v>
      </c>
      <c r="H28" s="33">
        <v>730252.14</v>
      </c>
      <c r="I28" s="36">
        <f t="shared" si="0"/>
        <v>-121272.72999999998</v>
      </c>
      <c r="J28" s="9"/>
      <c r="K28" s="3">
        <f>6820.94+6918.23+7046.32</f>
        <v>20785.489999999998</v>
      </c>
      <c r="L28" s="10">
        <f>I28-J28+K28</f>
        <v>-100487.23999999999</v>
      </c>
      <c r="M28" s="53">
        <f t="shared" si="3"/>
        <v>-0.11800857912699601</v>
      </c>
    </row>
    <row r="29" spans="1:23" s="1" customFormat="1">
      <c r="B29" s="103" t="s">
        <v>31</v>
      </c>
      <c r="C29" s="2">
        <v>118222.79</v>
      </c>
      <c r="D29" s="4">
        <v>98875.520000000004</v>
      </c>
      <c r="E29" s="32">
        <v>221036.22</v>
      </c>
      <c r="F29" s="31">
        <f>180.73*303.422</f>
        <v>54837.458060000004</v>
      </c>
      <c r="G29" s="33">
        <v>0</v>
      </c>
      <c r="H29" s="33"/>
      <c r="I29" s="44">
        <f t="shared" si="0"/>
        <v>0</v>
      </c>
      <c r="J29" s="35"/>
      <c r="K29" s="36"/>
      <c r="L29" s="10">
        <f>I29-J29+K29</f>
        <v>0</v>
      </c>
      <c r="M29" s="104"/>
    </row>
    <row r="30" spans="1:23" s="105" customFormat="1">
      <c r="B30" s="106" t="s">
        <v>54</v>
      </c>
      <c r="C30" s="107">
        <f>SUM(C28:C29)</f>
        <v>329089.64</v>
      </c>
      <c r="D30" s="49">
        <f>SUM(D28:D29)</f>
        <v>352935.8</v>
      </c>
      <c r="E30" s="50">
        <v>675128.56999999983</v>
      </c>
      <c r="F30" s="49">
        <f t="shared" ref="F30" si="7">SUM(F28:F29)</f>
        <v>813574.51806000003</v>
      </c>
      <c r="G30" s="51">
        <f>SUM(G28:G29)</f>
        <v>851524.87</v>
      </c>
      <c r="H30" s="51">
        <f>H28</f>
        <v>730252.14</v>
      </c>
      <c r="I30" s="36">
        <f t="shared" si="0"/>
        <v>-121272.72999999998</v>
      </c>
      <c r="J30" s="105">
        <f t="shared" ref="J30:K30" si="8">SUM(J28:J29)</f>
        <v>0</v>
      </c>
      <c r="K30" s="108">
        <f t="shared" si="8"/>
        <v>20785.489999999998</v>
      </c>
      <c r="L30" s="107">
        <f>SUM(L28:L29)</f>
        <v>-100487.23999999999</v>
      </c>
      <c r="M30" s="109">
        <f t="shared" si="3"/>
        <v>-0.11800857912699601</v>
      </c>
    </row>
    <row r="31" spans="1:23" s="111" customFormat="1" ht="17" thickBot="1">
      <c r="B31" s="112"/>
      <c r="C31" s="113"/>
      <c r="D31" s="114"/>
      <c r="E31" s="115"/>
      <c r="F31" s="116"/>
      <c r="G31" s="117"/>
      <c r="H31" s="117"/>
      <c r="I31" s="118">
        <f t="shared" si="0"/>
        <v>0</v>
      </c>
      <c r="J31" s="119"/>
      <c r="K31" s="120"/>
      <c r="L31" s="121"/>
      <c r="M31" s="95"/>
    </row>
    <row r="32" spans="1:23" s="1" customFormat="1">
      <c r="C32" s="122"/>
      <c r="D32" s="82"/>
      <c r="E32" s="84"/>
      <c r="F32" s="123"/>
      <c r="G32" s="124"/>
      <c r="H32" s="124"/>
      <c r="I32" s="9">
        <f t="shared" si="0"/>
        <v>0</v>
      </c>
      <c r="J32" s="65"/>
      <c r="K32" s="87"/>
      <c r="L32" s="10"/>
      <c r="M32" s="101"/>
    </row>
    <row r="33" spans="1:13" s="47" customFormat="1">
      <c r="A33" s="47" t="s">
        <v>37</v>
      </c>
      <c r="B33" s="47" t="s">
        <v>65</v>
      </c>
      <c r="C33" s="10">
        <v>86851.8</v>
      </c>
      <c r="D33" s="31">
        <v>90821.98</v>
      </c>
      <c r="E33" s="32">
        <v>98773.28</v>
      </c>
      <c r="F33" s="31">
        <f>122804.23-113.91</f>
        <v>122690.31999999999</v>
      </c>
      <c r="G33" s="33">
        <v>123705.42</v>
      </c>
      <c r="H33" s="33">
        <v>111558.53</v>
      </c>
      <c r="I33" s="9">
        <f t="shared" si="0"/>
        <v>-12146.89</v>
      </c>
      <c r="J33" s="36"/>
      <c r="K33" s="9"/>
      <c r="L33" s="10">
        <f>I33-J33+K33</f>
        <v>-12146.89</v>
      </c>
      <c r="M33" s="53">
        <f t="shared" si="3"/>
        <v>-9.8192059814355748E-2</v>
      </c>
    </row>
    <row r="34" spans="1:13" s="47" customFormat="1">
      <c r="A34" s="47" t="s">
        <v>18</v>
      </c>
      <c r="B34" s="47" t="s">
        <v>60</v>
      </c>
      <c r="C34" s="10"/>
      <c r="D34" s="31"/>
      <c r="E34" s="32"/>
      <c r="F34" s="31"/>
      <c r="G34" s="33"/>
      <c r="H34" s="33">
        <v>96445.72</v>
      </c>
      <c r="I34" s="9"/>
      <c r="J34" s="36">
        <v>100000</v>
      </c>
      <c r="K34" s="9">
        <v>0</v>
      </c>
      <c r="L34" s="10">
        <f>H34-J34</f>
        <v>-3554.2799999999988</v>
      </c>
      <c r="M34" s="53">
        <f>L34/J34</f>
        <v>-3.5542799999999986E-2</v>
      </c>
    </row>
    <row r="35" spans="1:13" s="52" customFormat="1" ht="17" thickBot="1">
      <c r="C35" s="10"/>
      <c r="D35" s="56"/>
      <c r="E35" s="57"/>
      <c r="F35" s="56"/>
      <c r="G35" s="58"/>
      <c r="H35" s="58"/>
      <c r="J35" s="10"/>
      <c r="L35" s="10"/>
      <c r="M35" s="95"/>
    </row>
    <row r="36" spans="1:13" s="125" customFormat="1" ht="17" thickBot="1">
      <c r="B36" s="125" t="s">
        <v>32</v>
      </c>
      <c r="C36" s="127">
        <f>C25+C30+C33</f>
        <v>801551.38000000012</v>
      </c>
      <c r="D36" s="128">
        <f t="shared" ref="D36" si="9">D30+D25+D33</f>
        <v>787842.45</v>
      </c>
      <c r="E36" s="129">
        <v>1525081.21</v>
      </c>
      <c r="F36" s="128">
        <f t="shared" ref="F36:L36" si="10">F25+F30+F33</f>
        <v>1921942.2276100002</v>
      </c>
      <c r="G36" s="130">
        <f t="shared" si="10"/>
        <v>2057262.8199999998</v>
      </c>
      <c r="H36" s="130">
        <f>H25+H30+H33+H34</f>
        <v>2076313.88</v>
      </c>
      <c r="I36" s="196">
        <f t="shared" si="10"/>
        <v>-77394.660000000018</v>
      </c>
      <c r="J36" s="128">
        <f t="shared" si="10"/>
        <v>278956.19</v>
      </c>
      <c r="K36" s="128">
        <f t="shared" si="10"/>
        <v>62437.49</v>
      </c>
      <c r="L36" s="128">
        <f t="shared" si="10"/>
        <v>-293107.36</v>
      </c>
      <c r="M36" s="131">
        <f t="shared" si="3"/>
        <v>-0.14247443600813239</v>
      </c>
    </row>
    <row r="37" spans="1:13" s="52" customFormat="1" ht="13">
      <c r="C37" s="65"/>
      <c r="D37" s="82"/>
      <c r="E37" s="133"/>
      <c r="F37" s="123"/>
      <c r="G37" s="124"/>
      <c r="H37" s="124"/>
      <c r="I37" s="134"/>
      <c r="J37" s="65"/>
      <c r="K37" s="87"/>
      <c r="L37" s="10"/>
      <c r="M37" s="135"/>
    </row>
    <row r="38" spans="1:13" s="47" customFormat="1">
      <c r="A38" s="102" t="s">
        <v>30</v>
      </c>
      <c r="B38" s="47" t="s">
        <v>33</v>
      </c>
      <c r="C38" s="36">
        <v>117910.89</v>
      </c>
      <c r="D38" s="4">
        <v>10762.49</v>
      </c>
      <c r="E38" s="6"/>
      <c r="F38" s="5"/>
      <c r="G38" s="7"/>
      <c r="H38" s="7"/>
      <c r="I38" s="8"/>
      <c r="J38" s="36"/>
      <c r="K38" s="9"/>
      <c r="L38" s="36"/>
      <c r="M38" s="11"/>
    </row>
    <row r="39" spans="1:13" s="47" customFormat="1">
      <c r="A39" s="102"/>
      <c r="B39" s="47" t="s">
        <v>34</v>
      </c>
      <c r="C39" s="36"/>
      <c r="D39" s="4">
        <f>'[1]Citizens Savings Detail'!K23</f>
        <v>90485.305989999993</v>
      </c>
      <c r="E39" s="32">
        <v>331123.19</v>
      </c>
      <c r="F39" s="31">
        <v>0</v>
      </c>
      <c r="G39" s="33"/>
      <c r="H39" s="33"/>
      <c r="I39" s="8"/>
      <c r="J39" s="36"/>
      <c r="K39" s="9"/>
      <c r="L39" s="36"/>
      <c r="M39" s="11"/>
    </row>
    <row r="40" spans="1:13" s="47" customFormat="1">
      <c r="A40" s="102"/>
      <c r="B40" s="47" t="s">
        <v>35</v>
      </c>
      <c r="C40" s="36"/>
      <c r="D40" s="4"/>
      <c r="E40" s="32"/>
      <c r="F40" s="31">
        <v>325087.88</v>
      </c>
      <c r="G40" s="33">
        <v>327125.46999999997</v>
      </c>
      <c r="H40" s="33">
        <v>238000</v>
      </c>
      <c r="I40" s="8"/>
      <c r="J40" s="36"/>
      <c r="K40" s="9"/>
      <c r="L40" s="36"/>
      <c r="M40" s="11"/>
    </row>
    <row r="41" spans="1:13" s="47" customFormat="1" ht="13">
      <c r="A41" s="102"/>
      <c r="B41" s="47" t="s">
        <v>36</v>
      </c>
      <c r="C41" s="36"/>
      <c r="D41" s="49">
        <f>SUM(D38:D39)</f>
        <v>101247.79599</v>
      </c>
      <c r="E41" s="6"/>
      <c r="F41" s="31">
        <v>0</v>
      </c>
      <c r="G41" s="33"/>
      <c r="H41" s="33"/>
      <c r="I41" s="9"/>
      <c r="J41" s="36"/>
      <c r="K41" s="9"/>
      <c r="L41" s="137"/>
      <c r="M41" s="11"/>
    </row>
    <row r="42" spans="1:13" s="1" customFormat="1">
      <c r="C42" s="3"/>
      <c r="D42" s="4"/>
      <c r="E42" s="6"/>
      <c r="F42" s="5"/>
      <c r="G42" s="7"/>
      <c r="H42" s="7"/>
      <c r="I42" s="9"/>
      <c r="J42" s="3"/>
      <c r="K42" s="9"/>
      <c r="L42" s="138"/>
      <c r="M42" s="11"/>
    </row>
    <row r="43" spans="1:13" s="52" customFormat="1" ht="13">
      <c r="A43" s="9" t="s">
        <v>37</v>
      </c>
      <c r="B43" s="52" t="s">
        <v>38</v>
      </c>
      <c r="C43" s="36">
        <v>40933.339999999997</v>
      </c>
      <c r="D43" s="4">
        <v>145828.93</v>
      </c>
      <c r="E43" s="32">
        <v>129536.67</v>
      </c>
      <c r="F43" s="31">
        <f>1044605.59+7500-F40</f>
        <v>727017.70999999985</v>
      </c>
      <c r="G43" s="33">
        <f>630961.1-G40</f>
        <v>303835.63</v>
      </c>
      <c r="H43" s="33">
        <f>789322-H40</f>
        <v>551322</v>
      </c>
      <c r="I43" s="9"/>
      <c r="J43" s="36"/>
      <c r="K43" s="9"/>
      <c r="L43" s="36"/>
      <c r="M43" s="11"/>
    </row>
    <row r="44" spans="1:13" s="52" customFormat="1" ht="13">
      <c r="A44" s="9"/>
      <c r="B44" s="52" t="s">
        <v>39</v>
      </c>
      <c r="C44" s="36"/>
      <c r="D44" s="4">
        <f>'[1]Citizens Savings Detail'!K30</f>
        <v>48843.529900000001</v>
      </c>
      <c r="E44" s="32">
        <v>427303.08</v>
      </c>
      <c r="F44" s="31">
        <v>3792.35</v>
      </c>
      <c r="G44" s="33">
        <v>0</v>
      </c>
      <c r="H44" s="33">
        <v>0</v>
      </c>
      <c r="I44" s="9"/>
      <c r="J44" s="36"/>
      <c r="K44" s="9"/>
      <c r="L44" s="36"/>
      <c r="M44" s="11"/>
    </row>
    <row r="45" spans="1:13" s="52" customFormat="1" ht="13">
      <c r="A45" s="9"/>
      <c r="B45" s="52" t="s">
        <v>40</v>
      </c>
      <c r="C45" s="36"/>
      <c r="D45" s="4"/>
      <c r="E45" s="32"/>
      <c r="F45" s="31"/>
      <c r="G45" s="33">
        <v>336712.86</v>
      </c>
      <c r="H45" s="33">
        <v>4992.78</v>
      </c>
      <c r="I45" s="9"/>
      <c r="J45" s="36"/>
      <c r="K45" s="9"/>
      <c r="L45" s="36"/>
      <c r="M45" s="11"/>
    </row>
    <row r="46" spans="1:13" s="8" customFormat="1">
      <c r="B46" s="52" t="s">
        <v>41</v>
      </c>
      <c r="C46" s="36">
        <v>843</v>
      </c>
      <c r="D46" s="4">
        <v>4214.42</v>
      </c>
      <c r="E46" s="139">
        <v>2535.34</v>
      </c>
      <c r="F46" s="140">
        <v>85169.17</v>
      </c>
      <c r="G46" s="62">
        <v>8225.39</v>
      </c>
      <c r="H46" s="62">
        <v>0</v>
      </c>
      <c r="J46" s="36"/>
      <c r="K46" s="9"/>
      <c r="L46" s="36"/>
      <c r="M46" s="11"/>
    </row>
    <row r="47" spans="1:13" s="52" customFormat="1" ht="13">
      <c r="A47" s="9"/>
      <c r="B47" s="52" t="s">
        <v>42</v>
      </c>
      <c r="C47" s="36"/>
      <c r="D47" s="49">
        <f t="shared" ref="D47" si="11">SUM(D43:D46)</f>
        <v>198886.8799</v>
      </c>
      <c r="E47" s="32">
        <v>559375.09</v>
      </c>
      <c r="F47" s="31">
        <f>SUM(F43:F46)</f>
        <v>815979.22999999986</v>
      </c>
      <c r="G47" s="33">
        <f>SUM(G43:G46)</f>
        <v>648773.88</v>
      </c>
      <c r="H47" s="33">
        <f>SUM(H43:H46)</f>
        <v>556314.78</v>
      </c>
      <c r="I47" s="9"/>
      <c r="J47" s="36"/>
      <c r="K47" s="9"/>
      <c r="L47" s="137"/>
      <c r="M47" s="11"/>
    </row>
    <row r="48" spans="1:13" s="1" customFormat="1">
      <c r="C48" s="3"/>
      <c r="D48" s="4"/>
      <c r="E48" s="6"/>
      <c r="F48" s="31"/>
      <c r="G48" s="33"/>
      <c r="H48" s="33"/>
      <c r="I48" s="8"/>
      <c r="J48" s="3"/>
      <c r="K48" s="9"/>
      <c r="L48" s="138"/>
      <c r="M48" s="11"/>
    </row>
    <row r="49" spans="1:13" s="8" customFormat="1">
      <c r="A49" s="8" t="s">
        <v>18</v>
      </c>
      <c r="B49" s="52" t="s">
        <v>43</v>
      </c>
      <c r="C49" s="36">
        <v>131151.76999999999</v>
      </c>
      <c r="D49" s="4"/>
      <c r="E49" s="6"/>
      <c r="F49" s="31"/>
      <c r="G49" s="33"/>
      <c r="H49" s="33"/>
      <c r="J49" s="141"/>
      <c r="K49" s="9"/>
      <c r="L49" s="36"/>
      <c r="M49" s="11"/>
    </row>
    <row r="50" spans="1:13" s="149" customFormat="1" ht="15" thickBot="1">
      <c r="B50" s="112" t="s">
        <v>44</v>
      </c>
      <c r="C50" s="150"/>
      <c r="D50" s="151"/>
      <c r="E50" s="152"/>
      <c r="F50" s="151">
        <f>F40+F47</f>
        <v>1141067.1099999999</v>
      </c>
      <c r="G50" s="153">
        <f>G40+G47</f>
        <v>975899.35</v>
      </c>
      <c r="H50" s="153">
        <f>H47+H40</f>
        <v>794314.78</v>
      </c>
      <c r="J50" s="150"/>
      <c r="L50" s="154"/>
      <c r="M50" s="155"/>
    </row>
    <row r="51" spans="1:13" s="8" customFormat="1">
      <c r="B51" s="52"/>
      <c r="C51" s="36"/>
      <c r="D51" s="31"/>
      <c r="E51" s="6"/>
      <c r="F51" s="31"/>
      <c r="G51" s="33"/>
      <c r="H51" s="33"/>
      <c r="I51" s="9"/>
      <c r="J51" s="36"/>
      <c r="K51" s="9"/>
      <c r="L51" s="137"/>
      <c r="M51" s="11"/>
    </row>
    <row r="52" spans="1:13" s="8" customFormat="1">
      <c r="A52" s="187" t="s">
        <v>30</v>
      </c>
      <c r="B52" s="52" t="s">
        <v>49</v>
      </c>
      <c r="C52" s="36"/>
      <c r="D52" s="31"/>
      <c r="E52" s="6"/>
      <c r="F52" s="31">
        <v>0</v>
      </c>
      <c r="G52" s="33">
        <v>1100000</v>
      </c>
      <c r="H52" s="33">
        <v>1100000</v>
      </c>
      <c r="I52" s="9"/>
      <c r="J52" s="36"/>
      <c r="K52" s="9"/>
      <c r="L52" s="137"/>
      <c r="M52" s="11"/>
    </row>
    <row r="53" spans="1:13" s="8" customFormat="1">
      <c r="A53" s="9" t="s">
        <v>37</v>
      </c>
      <c r="B53" s="52" t="s">
        <v>45</v>
      </c>
      <c r="C53" s="36"/>
      <c r="D53" s="31"/>
      <c r="E53" s="6"/>
      <c r="F53" s="31">
        <v>0</v>
      </c>
      <c r="G53" s="33">
        <v>-325000</v>
      </c>
      <c r="H53" s="33">
        <v>0</v>
      </c>
      <c r="I53" s="9"/>
      <c r="J53" s="36"/>
      <c r="K53" s="9"/>
      <c r="L53" s="137"/>
      <c r="M53" s="11"/>
    </row>
    <row r="54" spans="1:13" s="8" customFormat="1" ht="17" thickBot="1">
      <c r="A54" s="120"/>
      <c r="B54" s="30"/>
      <c r="C54" s="142"/>
      <c r="D54" s="143"/>
      <c r="E54" s="144"/>
      <c r="F54" s="143"/>
      <c r="G54" s="145"/>
      <c r="H54" s="145"/>
      <c r="I54" s="120"/>
      <c r="J54" s="142"/>
      <c r="K54" s="120"/>
      <c r="L54" s="146"/>
      <c r="M54" s="147"/>
    </row>
    <row r="55" spans="1:13" s="8" customFormat="1" ht="17" thickBot="1">
      <c r="A55" s="157"/>
      <c r="B55" s="125" t="s">
        <v>46</v>
      </c>
      <c r="C55" s="158"/>
      <c r="D55" s="159"/>
      <c r="E55" s="160"/>
      <c r="F55" s="159"/>
      <c r="G55" s="130">
        <f>G53+G52</f>
        <v>775000</v>
      </c>
      <c r="H55" s="130">
        <f>SUM(H52:H53)</f>
        <v>1100000</v>
      </c>
      <c r="I55" s="157"/>
      <c r="J55" s="158"/>
      <c r="K55" s="157"/>
      <c r="L55" s="161"/>
      <c r="M55" s="162"/>
    </row>
    <row r="56" spans="1:13" s="1" customFormat="1" ht="17" thickBot="1">
      <c r="C56" s="3"/>
      <c r="D56" s="4"/>
      <c r="E56" s="6"/>
      <c r="F56" s="31"/>
      <c r="G56" s="33"/>
      <c r="H56" s="33"/>
      <c r="I56" s="8"/>
      <c r="J56" s="3"/>
      <c r="K56" s="9"/>
      <c r="L56" s="10"/>
      <c r="M56" s="11"/>
    </row>
    <row r="57" spans="1:13" s="125" customFormat="1" ht="17" thickBot="1">
      <c r="B57" s="164" t="s">
        <v>47</v>
      </c>
      <c r="C57" s="127">
        <f>C43+C38+C36+C49+C46</f>
        <v>1092390.3800000001</v>
      </c>
      <c r="D57" s="128">
        <f>D47+D41+D36</f>
        <v>1087977.12589</v>
      </c>
      <c r="E57" s="129">
        <v>2415579.4900000002</v>
      </c>
      <c r="F57" s="128">
        <f>F47+F40+F36</f>
        <v>3063009.3376099998</v>
      </c>
      <c r="G57" s="130">
        <f>G36+G50+G55</f>
        <v>3808162.17</v>
      </c>
      <c r="H57" s="130">
        <f>H36+H50+H55</f>
        <v>3970628.66</v>
      </c>
      <c r="I57" s="126"/>
      <c r="J57" s="127"/>
      <c r="K57" s="127"/>
      <c r="L57" s="127"/>
      <c r="M57" s="165"/>
    </row>
    <row r="58" spans="1:13" s="125" customFormat="1" ht="17" thickBot="1">
      <c r="B58" s="164"/>
      <c r="C58" s="127"/>
      <c r="D58" s="128"/>
      <c r="E58" s="129"/>
      <c r="F58" s="128"/>
      <c r="G58" s="130"/>
      <c r="H58" s="130"/>
      <c r="J58" s="127"/>
      <c r="L58" s="127"/>
      <c r="M58" s="165"/>
    </row>
    <row r="59" spans="1:13" s="171" customFormat="1" ht="17" thickBot="1">
      <c r="B59" s="167" t="s">
        <v>48</v>
      </c>
      <c r="C59" s="168">
        <v>445045</v>
      </c>
      <c r="D59" s="159">
        <v>348699.23</v>
      </c>
      <c r="E59" s="169">
        <v>497147.68</v>
      </c>
      <c r="F59" s="159">
        <v>521276.84</v>
      </c>
      <c r="G59" s="170">
        <v>521301.78</v>
      </c>
      <c r="H59" s="170">
        <v>438405.63</v>
      </c>
      <c r="I59" s="167">
        <f>H59-G59</f>
        <v>-82896.150000000023</v>
      </c>
      <c r="J59" s="168"/>
      <c r="K59" s="167">
        <f>4928.89+4928.89+5168.33</f>
        <v>15026.11</v>
      </c>
      <c r="L59" s="168">
        <f>I59-J59+K59</f>
        <v>-67870.040000000023</v>
      </c>
      <c r="M59" s="172">
        <f>L59/F59</f>
        <v>-0.13019960756361248</v>
      </c>
    </row>
    <row r="60" spans="1:13" s="173" customFormat="1">
      <c r="D60" s="174"/>
      <c r="E60" s="176"/>
      <c r="F60" s="175"/>
      <c r="G60" s="175"/>
      <c r="H60" s="175"/>
      <c r="K60" s="177"/>
      <c r="L60" s="178"/>
      <c r="M60" s="179"/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732C-E075-264F-ABB2-DF6A7401FAC0}">
  <dimension ref="A1:W64"/>
  <sheetViews>
    <sheetView topLeftCell="A44" zoomScaleNormal="100" workbookViewId="0">
      <selection activeCell="H64" sqref="H64"/>
    </sheetView>
  </sheetViews>
  <sheetFormatPr baseColWidth="10" defaultRowHeight="16"/>
  <cols>
    <col min="1" max="1" width="3" customWidth="1"/>
    <col min="2" max="2" width="40.83203125" customWidth="1"/>
    <col min="3" max="3" width="14.1640625" bestFit="1" customWidth="1"/>
    <col min="4" max="4" width="14.5" bestFit="1" customWidth="1"/>
    <col min="5" max="6" width="14.1640625" bestFit="1" customWidth="1"/>
    <col min="7" max="8" width="14.33203125" bestFit="1" customWidth="1"/>
    <col min="9" max="9" width="14.1640625" bestFit="1" customWidth="1"/>
    <col min="10" max="10" width="12.6640625" bestFit="1" customWidth="1"/>
    <col min="11" max="11" width="12.1640625" bestFit="1" customWidth="1"/>
    <col min="12" max="12" width="13.1640625" bestFit="1" customWidth="1"/>
    <col min="13" max="13" width="11.1640625" bestFit="1" customWidth="1"/>
  </cols>
  <sheetData>
    <row r="1" spans="1:15" s="8" customFormat="1" ht="17" thickBot="1">
      <c r="B1" s="12"/>
      <c r="C1" s="3"/>
      <c r="D1" s="13"/>
      <c r="E1" s="14"/>
      <c r="F1" s="15" t="s">
        <v>0</v>
      </c>
      <c r="G1" s="16" t="s">
        <v>1</v>
      </c>
      <c r="H1" s="16" t="s">
        <v>2</v>
      </c>
      <c r="J1" s="3"/>
      <c r="K1" s="9"/>
      <c r="L1" s="183" t="s">
        <v>50</v>
      </c>
      <c r="M1" s="185" t="s">
        <v>50</v>
      </c>
    </row>
    <row r="2" spans="1:15" s="30" customFormat="1" ht="18" customHeight="1" thickTop="1" thickBot="1">
      <c r="A2" s="18" t="s">
        <v>52</v>
      </c>
      <c r="B2" s="19"/>
      <c r="C2" s="21">
        <v>38898</v>
      </c>
      <c r="D2" s="22">
        <v>40359</v>
      </c>
      <c r="E2" s="23">
        <v>42185</v>
      </c>
      <c r="F2" s="22">
        <v>43281</v>
      </c>
      <c r="G2" s="24">
        <v>43646</v>
      </c>
      <c r="H2" s="24">
        <v>43951</v>
      </c>
      <c r="I2" s="25" t="s">
        <v>4</v>
      </c>
      <c r="J2" s="26" t="s">
        <v>5</v>
      </c>
      <c r="K2" s="27" t="s">
        <v>6</v>
      </c>
      <c r="L2" s="184" t="s">
        <v>51</v>
      </c>
      <c r="M2" s="186" t="s">
        <v>7</v>
      </c>
    </row>
    <row r="3" spans="1:15" s="1" customFormat="1" ht="17" thickTop="1">
      <c r="B3" s="1" t="s">
        <v>10</v>
      </c>
      <c r="C3" s="3">
        <v>107880.5</v>
      </c>
      <c r="D3" s="4">
        <v>42740.85</v>
      </c>
      <c r="E3" s="32">
        <v>68736.680000000008</v>
      </c>
      <c r="F3" s="31">
        <f>180.73*75.358</f>
        <v>13619.45134</v>
      </c>
      <c r="G3" s="33">
        <v>0</v>
      </c>
      <c r="H3" s="33"/>
      <c r="I3" s="9"/>
      <c r="J3" s="3"/>
      <c r="K3" s="35"/>
      <c r="L3" s="36">
        <f>I3-J3+K3</f>
        <v>0</v>
      </c>
      <c r="M3" s="34"/>
    </row>
    <row r="4" spans="1:15" s="38" customFormat="1">
      <c r="B4" s="38" t="s">
        <v>11</v>
      </c>
      <c r="C4" s="39"/>
      <c r="D4" s="4">
        <v>57541.57</v>
      </c>
      <c r="E4" s="32">
        <v>85630.99</v>
      </c>
      <c r="F4" s="31">
        <f>130901.36-79</f>
        <v>130822.36</v>
      </c>
      <c r="G4" s="33">
        <v>141779.75</v>
      </c>
      <c r="H4" s="33">
        <v>130857.63</v>
      </c>
      <c r="I4" s="41">
        <f t="shared" ref="I4:I33" si="0">H4-G4</f>
        <v>-10922.119999999995</v>
      </c>
      <c r="J4" s="42"/>
      <c r="K4" s="43">
        <f>1747+1757+1774</f>
        <v>5278</v>
      </c>
      <c r="L4" s="44">
        <f>I4-J4+K4</f>
        <v>-5644.1199999999953</v>
      </c>
      <c r="M4" s="45">
        <f>L4/G4</f>
        <v>-3.9809070054080326E-2</v>
      </c>
      <c r="N4" s="8"/>
      <c r="O4" s="8"/>
    </row>
    <row r="5" spans="1:15" s="47" customFormat="1">
      <c r="A5" s="47" t="s">
        <v>12</v>
      </c>
      <c r="B5" s="47" t="s">
        <v>13</v>
      </c>
      <c r="C5" s="48"/>
      <c r="D5" s="49">
        <f>SUM(D3:D4)</f>
        <v>100282.42</v>
      </c>
      <c r="E5" s="50">
        <v>154367.67000000001</v>
      </c>
      <c r="F5" s="49">
        <f t="shared" ref="F5" si="1">SUM(F3:F4)</f>
        <v>144441.81134000001</v>
      </c>
      <c r="G5" s="51">
        <f>SUM(G3:G4)</f>
        <v>141779.75</v>
      </c>
      <c r="H5" s="51">
        <f>SUM(H3:H4)</f>
        <v>130857.63</v>
      </c>
      <c r="I5" s="9">
        <f t="shared" si="0"/>
        <v>-10922.119999999995</v>
      </c>
      <c r="J5" s="10">
        <f t="shared" ref="J5:L5" si="2">SUM(J3:J4)</f>
        <v>0</v>
      </c>
      <c r="K5" s="52">
        <f t="shared" si="2"/>
        <v>5278</v>
      </c>
      <c r="L5" s="10">
        <f t="shared" si="2"/>
        <v>-5644.1199999999953</v>
      </c>
      <c r="M5" s="53">
        <f t="shared" ref="M5:M36" si="3">L5/G5</f>
        <v>-3.9809070054080326E-2</v>
      </c>
      <c r="N5" s="52"/>
      <c r="O5" s="52"/>
    </row>
    <row r="6" spans="1:15" s="1" customFormat="1">
      <c r="C6" s="3"/>
      <c r="D6" s="55"/>
      <c r="E6" s="57"/>
      <c r="F6" s="56"/>
      <c r="G6" s="58"/>
      <c r="H6" s="58"/>
      <c r="I6" s="9">
        <f t="shared" si="0"/>
        <v>0</v>
      </c>
      <c r="J6" s="3"/>
      <c r="K6" s="9"/>
      <c r="L6" s="10"/>
      <c r="M6" s="53"/>
      <c r="N6" s="8"/>
      <c r="O6" s="8"/>
    </row>
    <row r="7" spans="1:15" s="1" customFormat="1">
      <c r="B7" s="2" t="s">
        <v>14</v>
      </c>
      <c r="C7" s="2">
        <v>243337.69</v>
      </c>
      <c r="D7" s="4">
        <v>98803.3</v>
      </c>
      <c r="E7" s="32">
        <v>128325.54</v>
      </c>
      <c r="F7" s="60">
        <f>142.477*180.73</f>
        <v>25749.868210000001</v>
      </c>
      <c r="G7" s="61">
        <v>0</v>
      </c>
      <c r="H7" s="61"/>
      <c r="I7" s="9">
        <f t="shared" si="0"/>
        <v>0</v>
      </c>
      <c r="J7" s="3">
        <v>0</v>
      </c>
      <c r="K7" s="35"/>
      <c r="L7" s="36">
        <f>I7-J7+K7</f>
        <v>0</v>
      </c>
      <c r="M7" s="53"/>
      <c r="N7" s="8"/>
      <c r="O7" s="8"/>
    </row>
    <row r="8" spans="1:15" s="38" customFormat="1">
      <c r="B8" s="38" t="s">
        <v>15</v>
      </c>
      <c r="C8" s="40"/>
      <c r="D8" s="4">
        <v>106514.53</v>
      </c>
      <c r="E8" s="32">
        <v>158702.09</v>
      </c>
      <c r="F8" s="31">
        <f>235289.69-143</f>
        <v>235146.69</v>
      </c>
      <c r="G8" s="33">
        <v>252755.25</v>
      </c>
      <c r="H8" s="62">
        <v>231563.59</v>
      </c>
      <c r="I8" s="41">
        <f t="shared" si="0"/>
        <v>-21191.660000000003</v>
      </c>
      <c r="J8" s="42"/>
      <c r="K8" s="43">
        <f>3778+3791+3814</f>
        <v>11383</v>
      </c>
      <c r="L8" s="44">
        <f>I8-J8+K8</f>
        <v>-9808.6600000000035</v>
      </c>
      <c r="M8" s="45">
        <f t="shared" si="3"/>
        <v>-3.8806948619267069E-2</v>
      </c>
      <c r="N8" s="8"/>
      <c r="O8" s="8"/>
    </row>
    <row r="9" spans="1:15" s="47" customFormat="1">
      <c r="A9" s="47" t="s">
        <v>16</v>
      </c>
      <c r="B9" s="47" t="s">
        <v>17</v>
      </c>
      <c r="C9" s="10"/>
      <c r="D9" s="49">
        <f>SUM(D7:D8)</f>
        <v>205317.83000000002</v>
      </c>
      <c r="E9" s="50">
        <v>287027.63</v>
      </c>
      <c r="F9" s="49">
        <f t="shared" ref="F9" si="4">SUM(F7:F8)</f>
        <v>260896.55820999999</v>
      </c>
      <c r="G9" s="51">
        <f>SUM(G7:G8)</f>
        <v>252755.25</v>
      </c>
      <c r="H9" s="64">
        <f>SUM(H7:H8)</f>
        <v>231563.59</v>
      </c>
      <c r="I9" s="9">
        <f t="shared" si="0"/>
        <v>-21191.660000000003</v>
      </c>
      <c r="J9" s="10">
        <f>SUM(J7:J8)</f>
        <v>0</v>
      </c>
      <c r="K9" s="52">
        <f t="shared" ref="K9:L9" si="5">SUM(K7:K8)</f>
        <v>11383</v>
      </c>
      <c r="L9" s="10">
        <f t="shared" si="5"/>
        <v>-9808.6600000000035</v>
      </c>
      <c r="M9" s="53">
        <f t="shared" si="3"/>
        <v>-3.8806948619267069E-2</v>
      </c>
    </row>
    <row r="10" spans="1:15" s="1" customFormat="1">
      <c r="C10" s="65"/>
      <c r="D10" s="67"/>
      <c r="E10" s="69"/>
      <c r="F10" s="68"/>
      <c r="G10" s="70"/>
      <c r="H10" s="70"/>
      <c r="I10" s="9">
        <f t="shared" si="0"/>
        <v>0</v>
      </c>
      <c r="J10" s="66"/>
      <c r="K10" s="71"/>
      <c r="L10" s="10"/>
      <c r="M10" s="53"/>
    </row>
    <row r="11" spans="1:15" s="47" customFormat="1">
      <c r="A11" s="47" t="s">
        <v>18</v>
      </c>
      <c r="B11" s="47" t="s">
        <v>19</v>
      </c>
      <c r="C11" s="10">
        <v>34391.75</v>
      </c>
      <c r="D11" s="31">
        <v>38484.42</v>
      </c>
      <c r="E11" s="32">
        <v>81631.039999999994</v>
      </c>
      <c r="F11" s="31">
        <f>87489.7-47.7</f>
        <v>87442</v>
      </c>
      <c r="G11" s="33">
        <v>85839.66</v>
      </c>
      <c r="H11" s="33">
        <v>80963.259999999995</v>
      </c>
      <c r="I11" s="9">
        <f t="shared" si="0"/>
        <v>-4876.4000000000087</v>
      </c>
      <c r="J11" s="36">
        <v>2000</v>
      </c>
      <c r="K11" s="52">
        <f>1058+1063+1076</f>
        <v>3197</v>
      </c>
      <c r="L11" s="10">
        <f>I11-J11+K11</f>
        <v>-3679.4000000000087</v>
      </c>
      <c r="M11" s="53">
        <f t="shared" si="3"/>
        <v>-4.2863636691944124E-2</v>
      </c>
    </row>
    <row r="12" spans="1:15" s="47" customFormat="1">
      <c r="C12" s="10"/>
      <c r="D12" s="31"/>
      <c r="E12" s="32"/>
      <c r="F12" s="31"/>
      <c r="G12" s="33"/>
      <c r="H12" s="33"/>
      <c r="I12" s="9"/>
      <c r="J12" s="10"/>
      <c r="K12" s="52"/>
      <c r="L12" s="10"/>
      <c r="M12" s="53"/>
    </row>
    <row r="13" spans="1:15" s="47" customFormat="1">
      <c r="A13" s="47" t="s">
        <v>20</v>
      </c>
      <c r="B13" s="47" t="s">
        <v>63</v>
      </c>
      <c r="C13" s="10"/>
      <c r="D13" s="72"/>
      <c r="E13" s="32">
        <v>120636.46</v>
      </c>
      <c r="F13" s="31">
        <f>151210.68-82.68</f>
        <v>151128</v>
      </c>
      <c r="G13" s="33">
        <v>150250.49</v>
      </c>
      <c r="H13" s="33">
        <v>140005.66</v>
      </c>
      <c r="I13" s="9">
        <f t="shared" si="0"/>
        <v>-10244.829999999987</v>
      </c>
      <c r="J13" s="36">
        <f>200+1000</f>
        <v>1200</v>
      </c>
      <c r="K13" s="52">
        <f>1817+1830+1857</f>
        <v>5504</v>
      </c>
      <c r="L13" s="10">
        <f>I13-J13+K13</f>
        <v>-5940.8299999999872</v>
      </c>
      <c r="M13" s="53">
        <f t="shared" si="3"/>
        <v>-3.9539504995957001E-2</v>
      </c>
    </row>
    <row r="14" spans="1:15">
      <c r="B14" s="182"/>
      <c r="C14" s="73"/>
      <c r="E14" s="74"/>
      <c r="F14" s="75"/>
      <c r="G14" s="76"/>
      <c r="H14" s="76"/>
      <c r="I14" s="36"/>
      <c r="K14" s="77"/>
      <c r="L14" s="73"/>
      <c r="M14" s="53"/>
    </row>
    <row r="15" spans="1:15" s="47" customFormat="1">
      <c r="A15" s="47" t="s">
        <v>22</v>
      </c>
      <c r="B15" s="47" t="s">
        <v>62</v>
      </c>
      <c r="C15" s="10"/>
      <c r="D15" s="31"/>
      <c r="E15" s="32">
        <v>51112.78</v>
      </c>
      <c r="F15" s="31">
        <f>117801.18+250</f>
        <v>118051.18</v>
      </c>
      <c r="G15" s="33">
        <v>118927.03</v>
      </c>
      <c r="H15" s="33">
        <v>111176.67</v>
      </c>
      <c r="I15" s="9">
        <f t="shared" si="0"/>
        <v>-7750.3600000000006</v>
      </c>
      <c r="J15" s="36">
        <f>350+500</f>
        <v>850</v>
      </c>
      <c r="K15" s="52">
        <f>1230+1272+1356</f>
        <v>3858</v>
      </c>
      <c r="L15" s="10">
        <f>I15-J15+K15</f>
        <v>-4742.3600000000006</v>
      </c>
      <c r="M15" s="53">
        <f t="shared" si="3"/>
        <v>-3.9876216533785473E-2</v>
      </c>
    </row>
    <row r="16" spans="1:15" s="47" customFormat="1">
      <c r="C16" s="10"/>
      <c r="D16" s="31"/>
      <c r="E16" s="32"/>
      <c r="F16" s="31"/>
      <c r="G16" s="33"/>
      <c r="H16" s="33"/>
      <c r="I16" s="9"/>
      <c r="J16" s="10"/>
      <c r="K16" s="52"/>
      <c r="L16" s="10"/>
      <c r="M16" s="53"/>
    </row>
    <row r="17" spans="1:23" s="47" customFormat="1">
      <c r="A17" s="47" t="s">
        <v>24</v>
      </c>
      <c r="B17" s="47" t="s">
        <v>61</v>
      </c>
      <c r="C17" s="10"/>
      <c r="D17" s="31"/>
      <c r="E17" s="32">
        <v>56403.78</v>
      </c>
      <c r="F17" s="31">
        <v>160539.82999999999</v>
      </c>
      <c r="G17" s="33">
        <v>168629.77</v>
      </c>
      <c r="H17" s="33">
        <v>160778.85</v>
      </c>
      <c r="I17" s="9">
        <f t="shared" si="0"/>
        <v>-7850.9199999999837</v>
      </c>
      <c r="J17" s="36">
        <v>5000</v>
      </c>
      <c r="K17" s="52">
        <f>1834+1918+1994</f>
        <v>5746</v>
      </c>
      <c r="L17" s="10">
        <f>I17-J17+K17</f>
        <v>-7104.9199999999837</v>
      </c>
      <c r="M17" s="53">
        <f t="shared" si="3"/>
        <v>-4.2133248476825792E-2</v>
      </c>
    </row>
    <row r="18" spans="1:23" s="47" customFormat="1">
      <c r="C18" s="10"/>
      <c r="D18" s="31"/>
      <c r="E18" s="32"/>
      <c r="F18" s="31"/>
      <c r="G18" s="33"/>
      <c r="H18" s="33"/>
      <c r="I18" s="9"/>
      <c r="J18" s="10"/>
      <c r="K18" s="52"/>
      <c r="L18" s="10"/>
      <c r="M18" s="53"/>
    </row>
    <row r="19" spans="1:23" s="47" customFormat="1">
      <c r="A19" s="47" t="s">
        <v>26</v>
      </c>
      <c r="B19" s="47" t="s">
        <v>56</v>
      </c>
      <c r="C19" s="10"/>
      <c r="D19" s="31"/>
      <c r="E19" s="32"/>
      <c r="F19" s="31">
        <f>63028.01+150</f>
        <v>63178.01</v>
      </c>
      <c r="G19" s="33">
        <v>62612.83</v>
      </c>
      <c r="H19" s="33">
        <v>57901.57</v>
      </c>
      <c r="I19" s="9">
        <f t="shared" si="0"/>
        <v>-4711.260000000002</v>
      </c>
      <c r="J19" s="10"/>
      <c r="K19" s="52">
        <f>732+740+757</f>
        <v>2229</v>
      </c>
      <c r="L19" s="10">
        <f>I19-J19+K19</f>
        <v>-2482.260000000002</v>
      </c>
      <c r="M19" s="53">
        <f t="shared" si="3"/>
        <v>-3.9644590413817772E-2</v>
      </c>
    </row>
    <row r="20" spans="1:23" s="47" customFormat="1">
      <c r="C20" s="10"/>
      <c r="D20" s="31"/>
      <c r="E20" s="32"/>
      <c r="F20" s="31"/>
      <c r="G20" s="33"/>
      <c r="H20" s="33"/>
      <c r="I20" s="9"/>
      <c r="J20" s="10"/>
      <c r="K20" s="52"/>
      <c r="L20" s="10"/>
      <c r="M20" s="53"/>
    </row>
    <row r="21" spans="1:23" s="47" customFormat="1">
      <c r="A21" s="47" t="s">
        <v>27</v>
      </c>
      <c r="B21" s="47" t="s">
        <v>28</v>
      </c>
      <c r="C21" s="10"/>
      <c r="D21" s="31"/>
      <c r="E21" s="32"/>
      <c r="F21" s="31">
        <v>0</v>
      </c>
      <c r="G21" s="33">
        <v>101237.75</v>
      </c>
      <c r="H21" s="33">
        <v>279074.62</v>
      </c>
      <c r="I21" s="9">
        <f t="shared" si="0"/>
        <v>177836.87</v>
      </c>
      <c r="J21" s="36">
        <f>209356.19</f>
        <v>209356.19</v>
      </c>
      <c r="K21" s="52">
        <f>1261+1261+1935</f>
        <v>4457</v>
      </c>
      <c r="L21" s="10">
        <f>I21-J21+K21</f>
        <v>-27062.320000000007</v>
      </c>
      <c r="M21" s="81">
        <f>L21/(G21+J21)</f>
        <v>-8.7130869327328178E-2</v>
      </c>
    </row>
    <row r="22" spans="1:23" s="47" customFormat="1">
      <c r="C22" s="10"/>
      <c r="D22" s="31"/>
      <c r="E22" s="32"/>
      <c r="F22" s="31"/>
      <c r="G22" s="33"/>
      <c r="H22" s="33"/>
      <c r="I22" s="9"/>
      <c r="J22" s="10"/>
      <c r="K22" s="52"/>
      <c r="L22" s="10"/>
      <c r="M22" s="81"/>
    </row>
    <row r="23" spans="1:23" s="47" customFormat="1">
      <c r="A23" s="47" t="s">
        <v>58</v>
      </c>
      <c r="B23" s="197" t="s">
        <v>59</v>
      </c>
      <c r="C23" s="197"/>
      <c r="D23" s="10"/>
      <c r="E23" s="10"/>
      <c r="F23" s="31"/>
      <c r="G23" s="33">
        <v>0</v>
      </c>
      <c r="H23" s="33">
        <v>57853.39</v>
      </c>
      <c r="I23" s="9">
        <f>H23-0</f>
        <v>57853.39</v>
      </c>
      <c r="J23" s="36">
        <f>44685+315+5000+10000+250+100+700+1350</f>
        <v>62400</v>
      </c>
      <c r="K23" s="52">
        <f>0+0+806</f>
        <v>806</v>
      </c>
      <c r="L23" s="10">
        <f t="shared" ref="L23" si="6">I23-J23+K23</f>
        <v>-3740.6100000000006</v>
      </c>
      <c r="M23" s="81">
        <f>L23/J23</f>
        <v>-5.9945673076923084E-2</v>
      </c>
      <c r="N23" s="178"/>
      <c r="O23" s="178"/>
      <c r="P23" s="178"/>
      <c r="Q23" s="9"/>
      <c r="R23" s="52"/>
      <c r="S23" s="52"/>
      <c r="T23" s="52"/>
      <c r="U23" s="101"/>
      <c r="V23" s="199"/>
      <c r="W23" s="52"/>
    </row>
    <row r="24" spans="1:23" s="1" customFormat="1">
      <c r="C24" s="65"/>
      <c r="D24" s="82"/>
      <c r="E24" s="84"/>
      <c r="F24" s="83"/>
      <c r="G24" s="85"/>
      <c r="H24" s="86"/>
      <c r="I24" s="41"/>
      <c r="J24" s="65"/>
      <c r="K24" s="87"/>
      <c r="L24" s="10"/>
      <c r="M24" s="45"/>
    </row>
    <row r="25" spans="1:23" s="88" customFormat="1" ht="17" thickBot="1">
      <c r="B25" s="89" t="s">
        <v>29</v>
      </c>
      <c r="C25" s="90">
        <f>SUM(C3:C24)</f>
        <v>385609.94</v>
      </c>
      <c r="D25" s="91">
        <f>D5+D9+D11</f>
        <v>344084.67</v>
      </c>
      <c r="E25" s="92">
        <v>751179.36</v>
      </c>
      <c r="F25" s="91">
        <f>F19+F17+F15+F13+F11+F9+F5</f>
        <v>985677.38954999996</v>
      </c>
      <c r="G25" s="93">
        <f>G21+G19+G17+G15+G13+G11+G9+G5</f>
        <v>1082032.53</v>
      </c>
      <c r="H25" s="93">
        <f>H5+H9+H11+H13+H15+H17+H19+H21+H23</f>
        <v>1250175.24</v>
      </c>
      <c r="I25" s="20">
        <f>H25-G25</f>
        <v>168142.70999999996</v>
      </c>
      <c r="J25" s="94">
        <f>J5+J9+J11+J13+J15+J17+J19+J21+J23</f>
        <v>280806.19</v>
      </c>
      <c r="K25" s="94">
        <f>K5+K9+K11+K13+K15+K17+K19+K21</f>
        <v>41652</v>
      </c>
      <c r="L25" s="90">
        <f>L5+L9+L11+L13+L15+L17+L19+L21+L23</f>
        <v>-70205.48</v>
      </c>
      <c r="M25" s="95">
        <f>L25/G25</f>
        <v>-6.4882966134114275E-2</v>
      </c>
    </row>
    <row r="26" spans="1:23" s="52" customFormat="1" ht="18" thickTop="1" thickBot="1">
      <c r="A26" s="97" t="s">
        <v>53</v>
      </c>
      <c r="B26" s="98"/>
      <c r="C26" s="10"/>
      <c r="D26" s="56"/>
      <c r="E26" s="57"/>
      <c r="F26" s="99"/>
      <c r="G26" s="100"/>
      <c r="H26" s="100"/>
      <c r="I26" s="9"/>
      <c r="J26" s="10"/>
      <c r="L26" s="10"/>
      <c r="M26" s="101"/>
    </row>
    <row r="27" spans="1:23" s="1" customFormat="1" ht="17" thickTop="1">
      <c r="C27" s="3"/>
      <c r="D27" s="55"/>
      <c r="E27" s="57"/>
      <c r="F27" s="99"/>
      <c r="G27" s="100"/>
      <c r="H27" s="100"/>
      <c r="I27" s="9"/>
      <c r="J27" s="3"/>
      <c r="K27" s="9"/>
      <c r="L27" s="10"/>
      <c r="M27" s="53"/>
    </row>
    <row r="28" spans="1:23" s="1" customFormat="1">
      <c r="A28" s="1" t="s">
        <v>30</v>
      </c>
      <c r="B28" s="102" t="s">
        <v>64</v>
      </c>
      <c r="C28" s="3">
        <v>210866.85</v>
      </c>
      <c r="D28" s="4">
        <v>254060.28</v>
      </c>
      <c r="E28" s="32">
        <v>454092.35</v>
      </c>
      <c r="F28" s="31">
        <f>759174.06-437</f>
        <v>758737.06</v>
      </c>
      <c r="G28" s="33">
        <v>851524.87</v>
      </c>
      <c r="H28" s="33">
        <v>799165.37</v>
      </c>
      <c r="I28" s="36">
        <f t="shared" si="0"/>
        <v>-52359.5</v>
      </c>
      <c r="J28" s="9"/>
      <c r="K28" s="3">
        <f>6820.94+6918.23+7046.32+7038.47</f>
        <v>27823.96</v>
      </c>
      <c r="L28" s="10">
        <f>I28-J28+K28</f>
        <v>-24535.54</v>
      </c>
      <c r="M28" s="53">
        <f t="shared" si="3"/>
        <v>-2.8813650504418035E-2</v>
      </c>
    </row>
    <row r="29" spans="1:23" s="1" customFormat="1">
      <c r="B29" s="103" t="s">
        <v>31</v>
      </c>
      <c r="C29" s="2">
        <v>118222.79</v>
      </c>
      <c r="D29" s="4">
        <v>98875.520000000004</v>
      </c>
      <c r="E29" s="32">
        <v>221036.22</v>
      </c>
      <c r="F29" s="31">
        <f>180.73*303.422</f>
        <v>54837.458060000004</v>
      </c>
      <c r="G29" s="33">
        <v>0</v>
      </c>
      <c r="H29" s="33"/>
      <c r="I29" s="44">
        <f t="shared" si="0"/>
        <v>0</v>
      </c>
      <c r="J29" s="35"/>
      <c r="K29" s="36"/>
      <c r="L29" s="10">
        <f>I29-J29+K29</f>
        <v>0</v>
      </c>
      <c r="M29" s="104"/>
    </row>
    <row r="30" spans="1:23" s="105" customFormat="1">
      <c r="B30" s="106" t="s">
        <v>54</v>
      </c>
      <c r="C30" s="107">
        <f>SUM(C28:C29)</f>
        <v>329089.64</v>
      </c>
      <c r="D30" s="49">
        <f>SUM(D28:D29)</f>
        <v>352935.8</v>
      </c>
      <c r="E30" s="50">
        <v>675128.56999999983</v>
      </c>
      <c r="F30" s="49">
        <f t="shared" ref="F30" si="7">SUM(F28:F29)</f>
        <v>813574.51806000003</v>
      </c>
      <c r="G30" s="51">
        <f>SUM(G28:G29)</f>
        <v>851524.87</v>
      </c>
      <c r="H30" s="51">
        <f>H28</f>
        <v>799165.37</v>
      </c>
      <c r="I30" s="36">
        <f t="shared" si="0"/>
        <v>-52359.5</v>
      </c>
      <c r="J30" s="105">
        <f t="shared" ref="J30:K30" si="8">SUM(J28:J29)</f>
        <v>0</v>
      </c>
      <c r="K30" s="108">
        <f t="shared" si="8"/>
        <v>27823.96</v>
      </c>
      <c r="L30" s="107">
        <f>SUM(L28:L29)</f>
        <v>-24535.54</v>
      </c>
      <c r="M30" s="109">
        <f t="shared" si="3"/>
        <v>-2.8813650504418035E-2</v>
      </c>
    </row>
    <row r="31" spans="1:23" s="111" customFormat="1" ht="17" thickBot="1">
      <c r="B31" s="112"/>
      <c r="C31" s="113"/>
      <c r="D31" s="114"/>
      <c r="E31" s="115"/>
      <c r="F31" s="116"/>
      <c r="G31" s="117"/>
      <c r="H31" s="117"/>
      <c r="I31" s="118">
        <f t="shared" si="0"/>
        <v>0</v>
      </c>
      <c r="J31" s="119"/>
      <c r="K31" s="120"/>
      <c r="L31" s="121"/>
      <c r="M31" s="95"/>
    </row>
    <row r="32" spans="1:23" s="1" customFormat="1">
      <c r="C32" s="122"/>
      <c r="D32" s="82"/>
      <c r="E32" s="84"/>
      <c r="F32" s="123"/>
      <c r="G32" s="124"/>
      <c r="H32" s="124"/>
      <c r="I32" s="9">
        <f t="shared" si="0"/>
        <v>0</v>
      </c>
      <c r="J32" s="65"/>
      <c r="K32" s="87"/>
      <c r="L32" s="10"/>
      <c r="M32" s="101"/>
    </row>
    <row r="33" spans="1:13" s="47" customFormat="1">
      <c r="A33" s="47" t="s">
        <v>37</v>
      </c>
      <c r="B33" s="47" t="s">
        <v>65</v>
      </c>
      <c r="C33" s="10">
        <v>86851.8</v>
      </c>
      <c r="D33" s="31">
        <v>90821.98</v>
      </c>
      <c r="E33" s="32">
        <v>98773.28</v>
      </c>
      <c r="F33" s="31">
        <f>122804.23-113.91</f>
        <v>122690.31999999999</v>
      </c>
      <c r="G33" s="33">
        <v>123705.42</v>
      </c>
      <c r="H33" s="33">
        <v>118888.47</v>
      </c>
      <c r="I33" s="9">
        <f t="shared" si="0"/>
        <v>-4816.9499999999971</v>
      </c>
      <c r="J33" s="36"/>
      <c r="K33" s="9"/>
      <c r="L33" s="10">
        <f>I33-J33+K33</f>
        <v>-4816.9499999999971</v>
      </c>
      <c r="M33" s="53">
        <f t="shared" si="3"/>
        <v>-3.8938875919907127E-2</v>
      </c>
    </row>
    <row r="34" spans="1:13" s="47" customFormat="1">
      <c r="A34" s="47" t="s">
        <v>18</v>
      </c>
      <c r="B34" s="47" t="s">
        <v>60</v>
      </c>
      <c r="C34" s="10"/>
      <c r="D34" s="31"/>
      <c r="E34" s="32"/>
      <c r="F34" s="31"/>
      <c r="G34" s="33"/>
      <c r="H34" s="33">
        <v>103995.92</v>
      </c>
      <c r="I34" s="9"/>
      <c r="J34" s="36">
        <v>100000</v>
      </c>
      <c r="K34" s="9">
        <v>0</v>
      </c>
      <c r="L34" s="10">
        <f>H34-J34</f>
        <v>3995.9199999999983</v>
      </c>
      <c r="M34" s="53">
        <f>L34/J34</f>
        <v>3.9959199999999979E-2</v>
      </c>
    </row>
    <row r="35" spans="1:13" s="52" customFormat="1" ht="17" thickBot="1">
      <c r="C35" s="10"/>
      <c r="D35" s="56"/>
      <c r="E35" s="57"/>
      <c r="F35" s="56"/>
      <c r="G35" s="58"/>
      <c r="H35" s="58"/>
      <c r="J35" s="10"/>
      <c r="L35" s="10"/>
      <c r="M35" s="95"/>
    </row>
    <row r="36" spans="1:13" s="125" customFormat="1" ht="17" thickBot="1">
      <c r="B36" s="125" t="s">
        <v>32</v>
      </c>
      <c r="C36" s="127">
        <f>C25+C30+C33</f>
        <v>801551.38000000012</v>
      </c>
      <c r="D36" s="128">
        <f t="shared" ref="D36" si="9">D30+D25+D33</f>
        <v>787842.45</v>
      </c>
      <c r="E36" s="129">
        <v>1525081.21</v>
      </c>
      <c r="F36" s="128">
        <f t="shared" ref="F36:L36" si="10">F25+F30+F33</f>
        <v>1921942.2276100002</v>
      </c>
      <c r="G36" s="130">
        <f t="shared" si="10"/>
        <v>2057262.8199999998</v>
      </c>
      <c r="H36" s="130">
        <f>H25+H30+H33+H34</f>
        <v>2272225</v>
      </c>
      <c r="I36" s="196">
        <f t="shared" si="10"/>
        <v>110966.25999999997</v>
      </c>
      <c r="J36" s="128">
        <f t="shared" si="10"/>
        <v>280806.19</v>
      </c>
      <c r="K36" s="128">
        <f t="shared" si="10"/>
        <v>69475.959999999992</v>
      </c>
      <c r="L36" s="128">
        <f t="shared" si="10"/>
        <v>-99557.969999999987</v>
      </c>
      <c r="M36" s="131">
        <f t="shared" si="3"/>
        <v>-4.8393413341325048E-2</v>
      </c>
    </row>
    <row r="37" spans="1:13" s="52" customFormat="1" ht="13">
      <c r="C37" s="65"/>
      <c r="D37" s="82"/>
      <c r="E37" s="133"/>
      <c r="F37" s="123"/>
      <c r="G37" s="124"/>
      <c r="H37" s="124"/>
      <c r="I37" s="134"/>
      <c r="J37" s="65"/>
      <c r="K37" s="87"/>
      <c r="L37" s="10"/>
      <c r="M37" s="135"/>
    </row>
    <row r="38" spans="1:13" s="47" customFormat="1">
      <c r="A38" s="102" t="s">
        <v>30</v>
      </c>
      <c r="B38" s="47" t="s">
        <v>33</v>
      </c>
      <c r="C38" s="36">
        <v>117910.89</v>
      </c>
      <c r="D38" s="4">
        <v>10762.49</v>
      </c>
      <c r="E38" s="6"/>
      <c r="F38" s="5"/>
      <c r="G38" s="7"/>
      <c r="H38" s="7"/>
      <c r="I38" s="8"/>
      <c r="J38" s="36"/>
      <c r="K38" s="9"/>
      <c r="L38" s="36"/>
      <c r="M38" s="11"/>
    </row>
    <row r="39" spans="1:13" s="47" customFormat="1">
      <c r="A39" s="102"/>
      <c r="B39" s="47" t="s">
        <v>34</v>
      </c>
      <c r="C39" s="36"/>
      <c r="D39" s="4">
        <f>'[1]Citizens Savings Detail'!K23</f>
        <v>90485.305989999993</v>
      </c>
      <c r="E39" s="32">
        <v>331123.19</v>
      </c>
      <c r="F39" s="31">
        <v>0</v>
      </c>
      <c r="G39" s="33"/>
      <c r="H39" s="33"/>
      <c r="I39" s="8"/>
      <c r="J39" s="36"/>
      <c r="K39" s="9"/>
      <c r="L39" s="36"/>
      <c r="M39" s="11"/>
    </row>
    <row r="40" spans="1:13" s="47" customFormat="1">
      <c r="A40" s="102"/>
      <c r="B40" s="47" t="s">
        <v>35</v>
      </c>
      <c r="C40" s="36"/>
      <c r="D40" s="4"/>
      <c r="E40" s="32"/>
      <c r="F40" s="31">
        <v>325087.88</v>
      </c>
      <c r="G40" s="33">
        <v>327125.46999999997</v>
      </c>
      <c r="H40" s="33">
        <v>238000</v>
      </c>
      <c r="I40" s="8"/>
      <c r="J40" s="36"/>
      <c r="K40" s="9"/>
      <c r="L40" s="36"/>
      <c r="M40" s="11"/>
    </row>
    <row r="41" spans="1:13" s="47" customFormat="1" ht="17" thickBot="1">
      <c r="A41" s="102"/>
      <c r="B41" s="47" t="s">
        <v>92</v>
      </c>
      <c r="C41" s="36"/>
      <c r="D41" s="4"/>
      <c r="E41" s="32"/>
      <c r="F41" s="31"/>
      <c r="G41" s="33"/>
      <c r="H41" s="145">
        <v>35637.61</v>
      </c>
      <c r="I41" s="8"/>
      <c r="J41" s="36"/>
      <c r="K41" s="9"/>
      <c r="L41" s="36"/>
      <c r="M41" s="11"/>
    </row>
    <row r="42" spans="1:13" s="47" customFormat="1" ht="13">
      <c r="A42" s="102"/>
      <c r="B42" s="47" t="s">
        <v>93</v>
      </c>
      <c r="C42" s="36"/>
      <c r="D42" s="49">
        <f>SUM(D38:D39)</f>
        <v>101247.79599</v>
      </c>
      <c r="E42" s="6"/>
      <c r="F42" s="31">
        <v>0</v>
      </c>
      <c r="G42" s="33"/>
      <c r="H42" s="33">
        <f>SUM(H40:H41)</f>
        <v>273637.61</v>
      </c>
      <c r="I42" s="9"/>
      <c r="J42" s="36"/>
      <c r="K42" s="9"/>
      <c r="L42" s="137"/>
      <c r="M42" s="11"/>
    </row>
    <row r="43" spans="1:13" s="47" customFormat="1" ht="13">
      <c r="A43" s="102"/>
      <c r="C43" s="36"/>
      <c r="D43" s="31"/>
      <c r="E43" s="6"/>
      <c r="F43" s="31"/>
      <c r="G43" s="33"/>
      <c r="H43" s="33"/>
      <c r="I43" s="9"/>
      <c r="J43" s="36"/>
      <c r="K43" s="9"/>
      <c r="L43" s="137"/>
      <c r="M43" s="11"/>
    </row>
    <row r="44" spans="1:13" s="1" customFormat="1">
      <c r="C44" s="3"/>
      <c r="D44" s="4"/>
      <c r="E44" s="6"/>
      <c r="F44" s="5"/>
      <c r="G44" s="7"/>
      <c r="H44" s="7"/>
      <c r="I44" s="9"/>
      <c r="J44" s="3"/>
      <c r="K44" s="9"/>
      <c r="L44" s="138"/>
      <c r="M44" s="11"/>
    </row>
    <row r="45" spans="1:13" s="52" customFormat="1" ht="13">
      <c r="A45" s="9" t="s">
        <v>37</v>
      </c>
      <c r="B45" s="52" t="s">
        <v>38</v>
      </c>
      <c r="C45" s="36">
        <v>40933.339999999997</v>
      </c>
      <c r="D45" s="4">
        <v>145828.93</v>
      </c>
      <c r="E45" s="32">
        <v>129536.67</v>
      </c>
      <c r="F45" s="31">
        <f>1044605.59+7500-F40</f>
        <v>727017.70999999985</v>
      </c>
      <c r="G45" s="33">
        <f>630961.1-G40</f>
        <v>303835.63</v>
      </c>
      <c r="H45" s="33">
        <f>789322-H40</f>
        <v>551322</v>
      </c>
      <c r="I45" s="9"/>
      <c r="J45" s="36"/>
      <c r="K45" s="9"/>
      <c r="L45" s="36"/>
      <c r="M45" s="11"/>
    </row>
    <row r="46" spans="1:13" s="52" customFormat="1" ht="13">
      <c r="A46" s="9"/>
      <c r="B46" s="52" t="s">
        <v>39</v>
      </c>
      <c r="C46" s="36"/>
      <c r="D46" s="4">
        <f>'[1]Citizens Savings Detail'!K30</f>
        <v>48843.529900000001</v>
      </c>
      <c r="E46" s="32">
        <v>427303.08</v>
      </c>
      <c r="F46" s="31">
        <v>3792.35</v>
      </c>
      <c r="G46" s="33">
        <v>0</v>
      </c>
      <c r="H46" s="33">
        <v>0</v>
      </c>
      <c r="I46" s="9"/>
      <c r="J46" s="36"/>
      <c r="K46" s="9"/>
      <c r="L46" s="36"/>
      <c r="M46" s="11"/>
    </row>
    <row r="47" spans="1:13" s="52" customFormat="1" ht="13">
      <c r="A47" s="9"/>
      <c r="B47" s="52" t="s">
        <v>40</v>
      </c>
      <c r="C47" s="36"/>
      <c r="D47" s="4"/>
      <c r="E47" s="32"/>
      <c r="F47" s="31"/>
      <c r="G47" s="33">
        <v>336712.86</v>
      </c>
      <c r="H47" s="33">
        <v>253931.22</v>
      </c>
      <c r="I47" s="9"/>
      <c r="J47" s="36"/>
      <c r="K47" s="9"/>
      <c r="L47" s="36"/>
      <c r="M47" s="11"/>
    </row>
    <row r="48" spans="1:13" s="8" customFormat="1">
      <c r="B48" s="52" t="s">
        <v>41</v>
      </c>
      <c r="C48" s="36">
        <v>843</v>
      </c>
      <c r="D48" s="4">
        <v>4214.42</v>
      </c>
      <c r="E48" s="139">
        <v>2535.34</v>
      </c>
      <c r="F48" s="140">
        <v>85169.17</v>
      </c>
      <c r="G48" s="62">
        <v>8225.39</v>
      </c>
      <c r="H48" s="62">
        <v>0</v>
      </c>
      <c r="J48" s="36"/>
      <c r="K48" s="9"/>
      <c r="L48" s="36"/>
      <c r="M48" s="11"/>
    </row>
    <row r="49" spans="1:13" s="52" customFormat="1" ht="13">
      <c r="A49" s="9"/>
      <c r="B49" s="52" t="s">
        <v>42</v>
      </c>
      <c r="C49" s="36"/>
      <c r="D49" s="49">
        <f t="shared" ref="D49" si="11">SUM(D45:D48)</f>
        <v>198886.8799</v>
      </c>
      <c r="E49" s="32">
        <v>559375.09</v>
      </c>
      <c r="F49" s="31">
        <f>SUM(F45:F48)</f>
        <v>815979.22999999986</v>
      </c>
      <c r="G49" s="33">
        <f>SUM(G45:G48)</f>
        <v>648773.88</v>
      </c>
      <c r="H49" s="33">
        <f>SUM(H45:H48)</f>
        <v>805253.22</v>
      </c>
      <c r="I49" s="9"/>
      <c r="J49" s="36"/>
      <c r="K49" s="9"/>
      <c r="L49" s="137"/>
      <c r="M49" s="11"/>
    </row>
    <row r="50" spans="1:13" s="1" customFormat="1">
      <c r="C50" s="3"/>
      <c r="D50" s="4"/>
      <c r="E50" s="6"/>
      <c r="F50" s="31"/>
      <c r="G50" s="33"/>
      <c r="H50" s="33"/>
      <c r="I50" s="8"/>
      <c r="J50" s="3"/>
      <c r="K50" s="9"/>
      <c r="L50" s="138"/>
      <c r="M50" s="11"/>
    </row>
    <row r="51" spans="1:13" s="1" customFormat="1">
      <c r="A51" s="1" t="s">
        <v>18</v>
      </c>
      <c r="B51" s="1" t="s">
        <v>94</v>
      </c>
      <c r="C51" s="3"/>
      <c r="D51" s="4"/>
      <c r="E51" s="6"/>
      <c r="F51" s="31"/>
      <c r="G51" s="33"/>
      <c r="H51" s="33">
        <f>-118700</f>
        <v>-118700</v>
      </c>
      <c r="I51" s="8"/>
      <c r="J51" s="3"/>
      <c r="K51" s="9"/>
      <c r="L51" s="138"/>
      <c r="M51" s="11"/>
    </row>
    <row r="52" spans="1:13" s="8" customFormat="1">
      <c r="A52" s="8" t="s">
        <v>95</v>
      </c>
      <c r="B52" s="52" t="s">
        <v>43</v>
      </c>
      <c r="C52" s="36">
        <v>131151.76999999999</v>
      </c>
      <c r="D52" s="4"/>
      <c r="E52" s="6"/>
      <c r="F52" s="31"/>
      <c r="G52" s="33"/>
      <c r="H52" s="33"/>
      <c r="J52" s="141"/>
      <c r="K52" s="9"/>
      <c r="L52" s="36"/>
      <c r="M52" s="11"/>
    </row>
    <row r="53" spans="1:13" s="8" customFormat="1">
      <c r="B53" s="52"/>
      <c r="C53" s="36"/>
      <c r="D53" s="4"/>
      <c r="E53" s="6"/>
      <c r="F53" s="31"/>
      <c r="G53" s="33"/>
      <c r="H53" s="33"/>
      <c r="J53" s="141"/>
      <c r="K53" s="9"/>
      <c r="L53" s="36"/>
      <c r="M53" s="11"/>
    </row>
    <row r="54" spans="1:13" s="149" customFormat="1" ht="15" thickBot="1">
      <c r="B54" s="112" t="s">
        <v>44</v>
      </c>
      <c r="C54" s="150"/>
      <c r="D54" s="151"/>
      <c r="E54" s="152"/>
      <c r="F54" s="151">
        <f>F40+F49</f>
        <v>1141067.1099999999</v>
      </c>
      <c r="G54" s="153">
        <f>G40+G49</f>
        <v>975899.35</v>
      </c>
      <c r="H54" s="153">
        <f>H49+H42+H51</f>
        <v>960190.83000000007</v>
      </c>
      <c r="J54" s="150"/>
      <c r="L54" s="154"/>
      <c r="M54" s="155"/>
    </row>
    <row r="55" spans="1:13" s="8" customFormat="1">
      <c r="B55" s="52"/>
      <c r="C55" s="36"/>
      <c r="D55" s="31"/>
      <c r="E55" s="6"/>
      <c r="F55" s="31"/>
      <c r="G55" s="33"/>
      <c r="H55" s="33"/>
      <c r="I55" s="9"/>
      <c r="J55" s="36"/>
      <c r="K55" s="9"/>
      <c r="L55" s="137"/>
      <c r="M55" s="11"/>
    </row>
    <row r="56" spans="1:13" s="8" customFormat="1">
      <c r="A56" s="187" t="s">
        <v>30</v>
      </c>
      <c r="B56" s="52" t="s">
        <v>49</v>
      </c>
      <c r="C56" s="36"/>
      <c r="D56" s="31"/>
      <c r="E56" s="6"/>
      <c r="F56" s="31">
        <v>0</v>
      </c>
      <c r="G56" s="33">
        <v>1100000</v>
      </c>
      <c r="H56" s="33">
        <v>1100000</v>
      </c>
      <c r="I56" s="9"/>
      <c r="J56" s="36"/>
      <c r="K56" s="9"/>
      <c r="L56" s="137"/>
      <c r="M56" s="11"/>
    </row>
    <row r="57" spans="1:13" s="8" customFormat="1">
      <c r="A57" s="9" t="s">
        <v>37</v>
      </c>
      <c r="B57" s="52" t="s">
        <v>45</v>
      </c>
      <c r="C57" s="36"/>
      <c r="D57" s="31"/>
      <c r="E57" s="6"/>
      <c r="F57" s="31">
        <v>0</v>
      </c>
      <c r="G57" s="33">
        <v>-325000</v>
      </c>
      <c r="H57" s="33">
        <v>0</v>
      </c>
      <c r="I57" s="9"/>
      <c r="J57" s="36"/>
      <c r="K57" s="9"/>
      <c r="L57" s="137"/>
      <c r="M57" s="11"/>
    </row>
    <row r="58" spans="1:13" s="8" customFormat="1" ht="17" thickBot="1">
      <c r="A58" s="120"/>
      <c r="B58" s="30"/>
      <c r="C58" s="142"/>
      <c r="D58" s="143"/>
      <c r="E58" s="144"/>
      <c r="F58" s="143"/>
      <c r="G58" s="145"/>
      <c r="H58" s="145"/>
      <c r="I58" s="120"/>
      <c r="J58" s="142"/>
      <c r="K58" s="120"/>
      <c r="L58" s="146"/>
      <c r="M58" s="147"/>
    </row>
    <row r="59" spans="1:13" s="8" customFormat="1" ht="17" thickBot="1">
      <c r="A59" s="157"/>
      <c r="B59" s="125" t="s">
        <v>46</v>
      </c>
      <c r="C59" s="158"/>
      <c r="D59" s="159"/>
      <c r="E59" s="160"/>
      <c r="F59" s="159"/>
      <c r="G59" s="130">
        <f>G57+G56</f>
        <v>775000</v>
      </c>
      <c r="H59" s="130">
        <f>SUM(H56:H57)</f>
        <v>1100000</v>
      </c>
      <c r="I59" s="157"/>
      <c r="J59" s="158"/>
      <c r="K59" s="157"/>
      <c r="L59" s="161"/>
      <c r="M59" s="162"/>
    </row>
    <row r="60" spans="1:13" s="1" customFormat="1" ht="17" thickBot="1">
      <c r="C60" s="3"/>
      <c r="D60" s="4"/>
      <c r="E60" s="6"/>
      <c r="F60" s="31"/>
      <c r="G60" s="33"/>
      <c r="H60" s="33"/>
      <c r="I60" s="8"/>
      <c r="J60" s="3"/>
      <c r="K60" s="9"/>
      <c r="L60" s="10"/>
      <c r="M60" s="11"/>
    </row>
    <row r="61" spans="1:13" s="125" customFormat="1" ht="17" thickBot="1">
      <c r="B61" s="164" t="s">
        <v>47</v>
      </c>
      <c r="C61" s="127">
        <f>C45+C38+C36+C52+C48</f>
        <v>1092390.3800000001</v>
      </c>
      <c r="D61" s="128">
        <f>D49+D42+D36</f>
        <v>1087977.12589</v>
      </c>
      <c r="E61" s="129">
        <v>2415579.4900000002</v>
      </c>
      <c r="F61" s="128">
        <f>F49+F40+F36</f>
        <v>3063009.3376099998</v>
      </c>
      <c r="G61" s="130">
        <f>G36+G54+G59</f>
        <v>3808162.17</v>
      </c>
      <c r="H61" s="130">
        <f>H36+H54+H59</f>
        <v>4332415.83</v>
      </c>
      <c r="I61" s="126"/>
      <c r="J61" s="127"/>
      <c r="K61" s="127"/>
      <c r="L61" s="127"/>
      <c r="M61" s="165"/>
    </row>
    <row r="62" spans="1:13" s="125" customFormat="1" ht="17" thickBot="1">
      <c r="B62" s="164"/>
      <c r="C62" s="127"/>
      <c r="D62" s="128"/>
      <c r="E62" s="129"/>
      <c r="F62" s="128"/>
      <c r="G62" s="130"/>
      <c r="H62" s="130"/>
      <c r="J62" s="127"/>
      <c r="L62" s="127"/>
      <c r="M62" s="165"/>
    </row>
    <row r="63" spans="1:13" s="171" customFormat="1" ht="17" thickBot="1">
      <c r="B63" s="167" t="s">
        <v>48</v>
      </c>
      <c r="C63" s="168">
        <v>445045</v>
      </c>
      <c r="D63" s="159">
        <v>348699.23</v>
      </c>
      <c r="E63" s="169">
        <v>497147.68</v>
      </c>
      <c r="F63" s="159">
        <v>521276.84</v>
      </c>
      <c r="G63" s="170">
        <v>521301.78</v>
      </c>
      <c r="H63" s="170">
        <v>438405.63</v>
      </c>
      <c r="I63" s="167">
        <f>H63-G63</f>
        <v>-82896.150000000023</v>
      </c>
      <c r="J63" s="168"/>
      <c r="K63" s="167">
        <v>6238.89</v>
      </c>
      <c r="L63" s="168">
        <f>I63-J63+K63</f>
        <v>-76657.260000000024</v>
      </c>
      <c r="M63" s="172">
        <f>L63/F63</f>
        <v>-0.14705671558322064</v>
      </c>
    </row>
    <row r="64" spans="1:13" s="173" customFormat="1">
      <c r="D64" s="174"/>
      <c r="E64" s="176"/>
      <c r="F64" s="175"/>
      <c r="G64" s="175"/>
      <c r="H64" s="175"/>
      <c r="K64" s="177"/>
      <c r="L64" s="178"/>
      <c r="M64" s="1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7CA9-DDE5-5E46-AF03-D640349FBF8D}">
  <dimension ref="A1:U50"/>
  <sheetViews>
    <sheetView topLeftCell="A18" workbookViewId="0">
      <selection activeCell="F50" sqref="F50"/>
    </sheetView>
  </sheetViews>
  <sheetFormatPr baseColWidth="10" defaultRowHeight="12"/>
  <cols>
    <col min="1" max="1" width="2.5" style="305" customWidth="1"/>
    <col min="2" max="2" width="23.6640625" style="243" customWidth="1"/>
    <col min="3" max="3" width="12.1640625" style="243" customWidth="1"/>
    <col min="4" max="4" width="12.6640625" style="243" customWidth="1"/>
    <col min="5" max="5" width="11.6640625" style="243" customWidth="1"/>
    <col min="6" max="6" width="12.33203125" style="243" customWidth="1"/>
    <col min="7" max="7" width="11.33203125" style="243" customWidth="1"/>
    <col min="8" max="8" width="10.6640625" style="243" customWidth="1"/>
    <col min="9" max="9" width="9.83203125" style="243" bestFit="1" customWidth="1"/>
    <col min="10" max="10" width="11.6640625" style="243" bestFit="1" customWidth="1"/>
    <col min="11" max="11" width="5.5" style="243" bestFit="1" customWidth="1"/>
    <col min="12" max="16384" width="10.83203125" style="243"/>
  </cols>
  <sheetData>
    <row r="1" spans="1:21" s="201" customFormat="1" ht="13" thickBot="1">
      <c r="A1" s="300"/>
      <c r="B1" s="202"/>
      <c r="C1" s="203"/>
      <c r="D1" s="204"/>
      <c r="E1" s="205" t="s">
        <v>1</v>
      </c>
      <c r="F1" s="205" t="s">
        <v>2</v>
      </c>
      <c r="G1" s="320" t="s">
        <v>76</v>
      </c>
      <c r="H1" s="203"/>
      <c r="I1" s="206"/>
      <c r="J1" s="183" t="s">
        <v>50</v>
      </c>
      <c r="K1" s="338" t="s">
        <v>2</v>
      </c>
    </row>
    <row r="2" spans="1:21" s="213" customFormat="1" ht="18" customHeight="1" thickTop="1" thickBot="1">
      <c r="A2" s="301" t="s">
        <v>52</v>
      </c>
      <c r="B2" s="208"/>
      <c r="C2" s="209">
        <v>38898</v>
      </c>
      <c r="D2" s="210">
        <v>42185</v>
      </c>
      <c r="E2" s="211">
        <v>43646</v>
      </c>
      <c r="F2" s="211">
        <v>43830</v>
      </c>
      <c r="G2" s="319" t="s">
        <v>77</v>
      </c>
      <c r="H2" s="318" t="s">
        <v>75</v>
      </c>
      <c r="I2" s="27" t="s">
        <v>78</v>
      </c>
      <c r="J2" s="212" t="s">
        <v>51</v>
      </c>
      <c r="K2" s="339" t="s">
        <v>79</v>
      </c>
    </row>
    <row r="3" spans="1:21" s="214" customFormat="1" ht="13" thickTop="1">
      <c r="A3" s="302"/>
      <c r="B3" s="214" t="s">
        <v>10</v>
      </c>
      <c r="C3" s="203">
        <v>107880.5</v>
      </c>
      <c r="D3" s="215">
        <v>68736.680000000008</v>
      </c>
      <c r="E3" s="216">
        <v>0</v>
      </c>
      <c r="F3" s="216"/>
      <c r="G3" s="206"/>
      <c r="H3" s="203"/>
      <c r="I3" s="217"/>
      <c r="J3" s="218">
        <f>G3-H3+I3</f>
        <v>0</v>
      </c>
      <c r="K3" s="233"/>
    </row>
    <row r="4" spans="1:21" s="220" customFormat="1">
      <c r="A4" s="303"/>
      <c r="B4" s="220" t="s">
        <v>11</v>
      </c>
      <c r="C4" s="221"/>
      <c r="D4" s="215">
        <v>85630.99</v>
      </c>
      <c r="E4" s="216">
        <v>141779.75</v>
      </c>
      <c r="F4" s="216">
        <v>119354.46</v>
      </c>
      <c r="G4" s="222">
        <f t="shared" ref="G4:G23" si="0">F4-E4</f>
        <v>-22425.289999999994</v>
      </c>
      <c r="H4" s="223"/>
      <c r="I4" s="224">
        <f>1747+1757+1774</f>
        <v>5278</v>
      </c>
      <c r="J4" s="225">
        <f>G4-H4+I4</f>
        <v>-17147.289999999994</v>
      </c>
      <c r="K4" s="226">
        <f>J4/E4</f>
        <v>-0.12094315302432113</v>
      </c>
      <c r="L4" s="201"/>
      <c r="M4" s="201"/>
    </row>
    <row r="5" spans="1:21" s="227" customFormat="1">
      <c r="A5" s="304" t="s">
        <v>12</v>
      </c>
      <c r="B5" s="227" t="s">
        <v>13</v>
      </c>
      <c r="C5" s="228"/>
      <c r="D5" s="229">
        <v>154367.67000000001</v>
      </c>
      <c r="E5" s="230">
        <f>SUM(E3:E4)</f>
        <v>141779.75</v>
      </c>
      <c r="F5" s="230">
        <f>SUM(F3:F4)</f>
        <v>119354.46</v>
      </c>
      <c r="G5" s="206">
        <f t="shared" si="0"/>
        <v>-22425.289999999994</v>
      </c>
      <c r="H5" s="231">
        <f t="shared" ref="H5:J5" si="1">SUM(H3:H4)</f>
        <v>0</v>
      </c>
      <c r="I5" s="232">
        <f t="shared" si="1"/>
        <v>5278</v>
      </c>
      <c r="J5" s="231">
        <f t="shared" si="1"/>
        <v>-17147.289999999994</v>
      </c>
      <c r="K5" s="233">
        <f t="shared" ref="K5:K26" si="2">J5/E5</f>
        <v>-0.12094315302432113</v>
      </c>
      <c r="L5" s="232"/>
      <c r="M5" s="232"/>
    </row>
    <row r="6" spans="1:21" s="214" customFormat="1">
      <c r="A6" s="302"/>
      <c r="B6" s="236" t="s">
        <v>14</v>
      </c>
      <c r="C6" s="236">
        <v>243337.69</v>
      </c>
      <c r="D6" s="215">
        <v>128325.54</v>
      </c>
      <c r="E6" s="237">
        <v>0</v>
      </c>
      <c r="F6" s="237"/>
      <c r="G6" s="206">
        <f t="shared" si="0"/>
        <v>0</v>
      </c>
      <c r="H6" s="203">
        <v>0</v>
      </c>
      <c r="I6" s="217"/>
      <c r="J6" s="218">
        <f>G6-H6+I6</f>
        <v>0</v>
      </c>
      <c r="K6" s="233"/>
      <c r="L6" s="201"/>
      <c r="M6" s="201"/>
    </row>
    <row r="7" spans="1:21" s="220" customFormat="1">
      <c r="A7" s="303"/>
      <c r="B7" s="220" t="s">
        <v>15</v>
      </c>
      <c r="C7" s="238"/>
      <c r="D7" s="215">
        <v>158702.09</v>
      </c>
      <c r="E7" s="216">
        <v>252755.25</v>
      </c>
      <c r="F7" s="239">
        <v>210740.82</v>
      </c>
      <c r="G7" s="222">
        <f t="shared" si="0"/>
        <v>-42014.429999999993</v>
      </c>
      <c r="H7" s="223"/>
      <c r="I7" s="224">
        <f>3778+3791+3814</f>
        <v>11383</v>
      </c>
      <c r="J7" s="225">
        <f>G7-H7+I7</f>
        <v>-30631.429999999993</v>
      </c>
      <c r="K7" s="226">
        <f t="shared" si="2"/>
        <v>-0.12119008408331773</v>
      </c>
      <c r="L7" s="201"/>
      <c r="M7" s="201"/>
    </row>
    <row r="8" spans="1:21" s="227" customFormat="1">
      <c r="A8" s="304" t="s">
        <v>16</v>
      </c>
      <c r="B8" s="227" t="s">
        <v>17</v>
      </c>
      <c r="C8" s="231"/>
      <c r="D8" s="229">
        <v>287027.63</v>
      </c>
      <c r="E8" s="230">
        <f>SUM(E6:E7)</f>
        <v>252755.25</v>
      </c>
      <c r="F8" s="240">
        <f>SUM(F6:F7)</f>
        <v>210740.82</v>
      </c>
      <c r="G8" s="206">
        <f t="shared" si="0"/>
        <v>-42014.429999999993</v>
      </c>
      <c r="H8" s="231">
        <f>SUM(H6:H7)</f>
        <v>0</v>
      </c>
      <c r="I8" s="232">
        <f t="shared" ref="I8:J8" si="3">SUM(I6:I7)</f>
        <v>11383</v>
      </c>
      <c r="J8" s="231">
        <f t="shared" si="3"/>
        <v>-30631.429999999993</v>
      </c>
      <c r="K8" s="233">
        <f t="shared" si="2"/>
        <v>-0.12119008408331773</v>
      </c>
    </row>
    <row r="9" spans="1:21" s="227" customFormat="1">
      <c r="A9" s="304" t="s">
        <v>18</v>
      </c>
      <c r="B9" s="227" t="s">
        <v>68</v>
      </c>
      <c r="C9" s="231">
        <v>34391.75</v>
      </c>
      <c r="D9" s="215">
        <v>81631.039999999994</v>
      </c>
      <c r="E9" s="216">
        <v>85839.66</v>
      </c>
      <c r="F9" s="216">
        <v>73854.289999999994</v>
      </c>
      <c r="G9" s="206">
        <f t="shared" si="0"/>
        <v>-11985.37000000001</v>
      </c>
      <c r="H9" s="218">
        <v>2000</v>
      </c>
      <c r="I9" s="232">
        <f>1058+1063+1076</f>
        <v>3197</v>
      </c>
      <c r="J9" s="231">
        <f t="shared" ref="J9:J14" si="4">G9-H9+I9</f>
        <v>-10788.37000000001</v>
      </c>
      <c r="K9" s="233">
        <f t="shared" si="2"/>
        <v>-0.12568048382297892</v>
      </c>
    </row>
    <row r="10" spans="1:21" s="227" customFormat="1">
      <c r="A10" s="304" t="s">
        <v>20</v>
      </c>
      <c r="B10" s="227" t="s">
        <v>63</v>
      </c>
      <c r="C10" s="231"/>
      <c r="D10" s="215">
        <v>120636.46</v>
      </c>
      <c r="E10" s="216">
        <v>150250.49</v>
      </c>
      <c r="F10" s="216">
        <v>127709.82</v>
      </c>
      <c r="G10" s="206">
        <f t="shared" si="0"/>
        <v>-22540.669999999984</v>
      </c>
      <c r="H10" s="218">
        <f>200+1000</f>
        <v>1200</v>
      </c>
      <c r="I10" s="232">
        <f>1817+1830+1857</f>
        <v>5504</v>
      </c>
      <c r="J10" s="231">
        <f t="shared" si="4"/>
        <v>-18236.669999999984</v>
      </c>
      <c r="K10" s="233">
        <f t="shared" si="2"/>
        <v>-0.12137511165520981</v>
      </c>
    </row>
    <row r="11" spans="1:21" s="227" customFormat="1">
      <c r="A11" s="304" t="s">
        <v>22</v>
      </c>
      <c r="B11" s="227" t="s">
        <v>62</v>
      </c>
      <c r="C11" s="231"/>
      <c r="D11" s="215">
        <v>51112.78</v>
      </c>
      <c r="E11" s="216">
        <v>118927.03</v>
      </c>
      <c r="F11" s="216">
        <v>100921.42</v>
      </c>
      <c r="G11" s="206">
        <f t="shared" si="0"/>
        <v>-18005.61</v>
      </c>
      <c r="H11" s="218">
        <f>350</f>
        <v>350</v>
      </c>
      <c r="I11" s="232">
        <f>1230+1272+1356</f>
        <v>3858</v>
      </c>
      <c r="J11" s="231">
        <f t="shared" si="4"/>
        <v>-14497.61</v>
      </c>
      <c r="K11" s="233">
        <f t="shared" si="2"/>
        <v>-0.12190340581110956</v>
      </c>
    </row>
    <row r="12" spans="1:21" s="227" customFormat="1">
      <c r="A12" s="304" t="s">
        <v>24</v>
      </c>
      <c r="B12" s="227" t="s">
        <v>67</v>
      </c>
      <c r="C12" s="231"/>
      <c r="D12" s="215">
        <v>56403.78</v>
      </c>
      <c r="E12" s="216">
        <v>168629.77</v>
      </c>
      <c r="F12" s="216">
        <v>146658.95000000001</v>
      </c>
      <c r="G12" s="206">
        <f t="shared" si="0"/>
        <v>-21970.819999999978</v>
      </c>
      <c r="H12" s="218">
        <v>5000</v>
      </c>
      <c r="I12" s="232">
        <f>1834+1918+1994</f>
        <v>5746</v>
      </c>
      <c r="J12" s="231">
        <f t="shared" si="4"/>
        <v>-21224.819999999978</v>
      </c>
      <c r="K12" s="233">
        <f t="shared" si="2"/>
        <v>-0.12586638764910835</v>
      </c>
    </row>
    <row r="13" spans="1:21" s="227" customFormat="1">
      <c r="A13" s="304" t="s">
        <v>26</v>
      </c>
      <c r="B13" s="227" t="s">
        <v>66</v>
      </c>
      <c r="C13" s="231"/>
      <c r="D13" s="215"/>
      <c r="E13" s="216">
        <v>62612.83</v>
      </c>
      <c r="F13" s="216">
        <v>52806.84</v>
      </c>
      <c r="G13" s="206">
        <f t="shared" si="0"/>
        <v>-9805.9900000000052</v>
      </c>
      <c r="H13" s="231"/>
      <c r="I13" s="232">
        <f>732+740+757</f>
        <v>2229</v>
      </c>
      <c r="J13" s="231">
        <f t="shared" si="4"/>
        <v>-7576.9900000000052</v>
      </c>
      <c r="K13" s="233">
        <f t="shared" si="2"/>
        <v>-0.12101337697082219</v>
      </c>
    </row>
    <row r="14" spans="1:21" s="227" customFormat="1">
      <c r="A14" s="304" t="s">
        <v>27</v>
      </c>
      <c r="B14" s="227" t="s">
        <v>28</v>
      </c>
      <c r="C14" s="231"/>
      <c r="D14" s="215"/>
      <c r="E14" s="216">
        <v>101237.75</v>
      </c>
      <c r="F14" s="216">
        <v>254481.66</v>
      </c>
      <c r="G14" s="206">
        <f t="shared" si="0"/>
        <v>153243.91</v>
      </c>
      <c r="H14" s="218">
        <f>209356.19</f>
        <v>209356.19</v>
      </c>
      <c r="I14" s="232">
        <f>1261+1261+1935</f>
        <v>4457</v>
      </c>
      <c r="J14" s="231">
        <f t="shared" si="4"/>
        <v>-51655.28</v>
      </c>
      <c r="K14" s="244">
        <f>J14/(E14+H14)</f>
        <v>-0.16631129377475942</v>
      </c>
    </row>
    <row r="15" spans="1:21" s="227" customFormat="1">
      <c r="A15" s="304" t="s">
        <v>58</v>
      </c>
      <c r="B15" s="245" t="s">
        <v>59</v>
      </c>
      <c r="C15" s="245"/>
      <c r="D15" s="231"/>
      <c r="E15" s="216">
        <v>0</v>
      </c>
      <c r="F15" s="216">
        <v>51529.23</v>
      </c>
      <c r="G15" s="206">
        <f>F15-0</f>
        <v>51529.23</v>
      </c>
      <c r="H15" s="218">
        <f>44685+315+5000+10000+250+100+700</f>
        <v>61050</v>
      </c>
      <c r="I15" s="232">
        <f>0+0+806</f>
        <v>806</v>
      </c>
      <c r="J15" s="231">
        <f t="shared" ref="J15" si="5">G15-H15+I15</f>
        <v>-8714.7699999999968</v>
      </c>
      <c r="K15" s="244">
        <f>J15/H15</f>
        <v>-0.14274807534807529</v>
      </c>
      <c r="L15" s="246"/>
      <c r="M15" s="246"/>
      <c r="N15" s="246"/>
      <c r="O15" s="206"/>
      <c r="P15" s="232"/>
      <c r="Q15" s="232"/>
      <c r="R15" s="232"/>
      <c r="S15" s="247"/>
      <c r="T15" s="248"/>
      <c r="U15" s="232"/>
    </row>
    <row r="16" spans="1:21" s="249" customFormat="1" ht="13" thickBot="1">
      <c r="A16" s="306"/>
      <c r="B16" s="249" t="s">
        <v>29</v>
      </c>
      <c r="C16" s="250">
        <f>SUM(C3:C15)</f>
        <v>385609.94</v>
      </c>
      <c r="D16" s="251">
        <v>751179.36</v>
      </c>
      <c r="E16" s="252">
        <f>E14+E13+E12+E11+E10+E9+E8+E5</f>
        <v>1082032.53</v>
      </c>
      <c r="F16" s="252">
        <f>F5+F8+F9+F10+F11+F12+F13+F14+F15</f>
        <v>1138057.49</v>
      </c>
      <c r="G16" s="253">
        <f>F16-E16</f>
        <v>56024.959999999963</v>
      </c>
      <c r="H16" s="254">
        <f>H5+H8+H9+H10+H11+H12+H13+H14+H15</f>
        <v>278956.19</v>
      </c>
      <c r="I16" s="254">
        <f>I5+I8+I9+I10+I11+I12+I13+I14</f>
        <v>41652</v>
      </c>
      <c r="J16" s="250">
        <f>J5+J8+J9+J10+J11+J12+J13+J14+J15</f>
        <v>-180473.22999999995</v>
      </c>
      <c r="K16" s="255">
        <f>J16/E16</f>
        <v>-0.16679094666405264</v>
      </c>
    </row>
    <row r="17" spans="1:11" s="232" customFormat="1" ht="13" thickBot="1">
      <c r="A17" s="309"/>
      <c r="C17" s="231"/>
      <c r="D17" s="322"/>
      <c r="E17" s="216"/>
      <c r="F17" s="216"/>
      <c r="H17" s="323"/>
      <c r="J17" s="231"/>
      <c r="K17" s="332"/>
    </row>
    <row r="18" spans="1:11" s="232" customFormat="1" ht="14" thickTop="1" thickBot="1">
      <c r="A18" s="301" t="s">
        <v>53</v>
      </c>
      <c r="B18" s="208"/>
      <c r="C18" s="231"/>
      <c r="D18" s="234"/>
      <c r="E18" s="256"/>
      <c r="F18" s="256"/>
      <c r="G18" s="206"/>
      <c r="H18" s="231"/>
      <c r="J18" s="231"/>
      <c r="K18" s="233"/>
    </row>
    <row r="19" spans="1:11" s="214" customFormat="1" ht="13" thickTop="1">
      <c r="A19" s="302" t="s">
        <v>30</v>
      </c>
      <c r="B19" s="257" t="s">
        <v>74</v>
      </c>
      <c r="C19" s="203">
        <v>210866.85</v>
      </c>
      <c r="D19" s="215">
        <v>454092.35</v>
      </c>
      <c r="E19" s="216">
        <v>851524.87</v>
      </c>
      <c r="F19" s="216">
        <v>730252.14</v>
      </c>
      <c r="G19" s="218">
        <f t="shared" si="0"/>
        <v>-121272.72999999998</v>
      </c>
      <c r="H19" s="206"/>
      <c r="I19" s="203">
        <f>6820.94+6918.23+7046.32</f>
        <v>20785.489999999998</v>
      </c>
      <c r="J19" s="231">
        <f>G19-H19+I19</f>
        <v>-100487.23999999999</v>
      </c>
      <c r="K19" s="233">
        <f t="shared" si="2"/>
        <v>-0.11800857912699601</v>
      </c>
    </row>
    <row r="20" spans="1:11" s="214" customFormat="1">
      <c r="A20" s="302"/>
      <c r="B20" s="258" t="s">
        <v>31</v>
      </c>
      <c r="C20" s="236">
        <v>118222.79</v>
      </c>
      <c r="D20" s="215">
        <v>221036.22</v>
      </c>
      <c r="E20" s="216">
        <v>0</v>
      </c>
      <c r="F20" s="216"/>
      <c r="G20" s="225">
        <f t="shared" si="0"/>
        <v>0</v>
      </c>
      <c r="H20" s="217"/>
      <c r="I20" s="218"/>
      <c r="J20" s="231">
        <f>G20-H20+I20</f>
        <v>0</v>
      </c>
      <c r="K20" s="259"/>
    </row>
    <row r="21" spans="1:11" s="260" customFormat="1">
      <c r="A21" s="307"/>
      <c r="B21" s="232" t="s">
        <v>69</v>
      </c>
      <c r="C21" s="261">
        <f>SUM(C19:C20)</f>
        <v>329089.64</v>
      </c>
      <c r="D21" s="229">
        <v>675128.56999999983</v>
      </c>
      <c r="E21" s="230">
        <f>SUM(E19:E20)</f>
        <v>851524.87</v>
      </c>
      <c r="F21" s="230">
        <f>F19</f>
        <v>730252.14</v>
      </c>
      <c r="G21" s="218">
        <f t="shared" si="0"/>
        <v>-121272.72999999998</v>
      </c>
      <c r="H21" s="260">
        <f t="shared" ref="H21:I21" si="6">SUM(H19:H20)</f>
        <v>0</v>
      </c>
      <c r="I21" s="262">
        <f t="shared" si="6"/>
        <v>20785.489999999998</v>
      </c>
      <c r="J21" s="261">
        <f>SUM(J19:J20)</f>
        <v>-100487.23999999999</v>
      </c>
      <c r="K21" s="263">
        <f t="shared" si="2"/>
        <v>-0.11800857912699601</v>
      </c>
    </row>
    <row r="22" spans="1:11" s="264" customFormat="1" ht="13" thickBot="1">
      <c r="A22" s="308"/>
      <c r="B22" s="321"/>
      <c r="C22" s="265"/>
      <c r="D22" s="266"/>
      <c r="E22" s="267"/>
      <c r="F22" s="267"/>
      <c r="G22" s="268">
        <f t="shared" si="0"/>
        <v>0</v>
      </c>
      <c r="H22" s="269"/>
      <c r="I22" s="270"/>
      <c r="J22" s="271"/>
      <c r="K22" s="255"/>
    </row>
    <row r="23" spans="1:11" s="227" customFormat="1">
      <c r="A23" s="304" t="s">
        <v>37</v>
      </c>
      <c r="B23" s="227" t="s">
        <v>65</v>
      </c>
      <c r="C23" s="231">
        <v>86851.8</v>
      </c>
      <c r="D23" s="215">
        <v>98773.28</v>
      </c>
      <c r="E23" s="216">
        <v>123705.42</v>
      </c>
      <c r="F23" s="216">
        <v>111558.53</v>
      </c>
      <c r="G23" s="206">
        <f t="shared" si="0"/>
        <v>-12146.89</v>
      </c>
      <c r="H23" s="218"/>
      <c r="I23" s="206"/>
      <c r="J23" s="231">
        <f>G23-H23+I23</f>
        <v>-12146.89</v>
      </c>
      <c r="K23" s="233">
        <f t="shared" si="2"/>
        <v>-9.8192059814355748E-2</v>
      </c>
    </row>
    <row r="24" spans="1:11" s="227" customFormat="1">
      <c r="A24" s="304" t="s">
        <v>18</v>
      </c>
      <c r="B24" s="227" t="s">
        <v>60</v>
      </c>
      <c r="C24" s="231"/>
      <c r="D24" s="215"/>
      <c r="E24" s="216"/>
      <c r="F24" s="216">
        <v>96445.72</v>
      </c>
      <c r="G24" s="206"/>
      <c r="H24" s="218">
        <v>100000</v>
      </c>
      <c r="I24" s="206">
        <v>0</v>
      </c>
      <c r="J24" s="231">
        <f>F24-H24</f>
        <v>-3554.2799999999988</v>
      </c>
      <c r="K24" s="233">
        <f>J24/H24</f>
        <v>-3.5542799999999986E-2</v>
      </c>
    </row>
    <row r="25" spans="1:11" s="232" customFormat="1" ht="13" thickBot="1">
      <c r="A25" s="309"/>
      <c r="C25" s="231"/>
      <c r="D25" s="234"/>
      <c r="E25" s="235"/>
      <c r="F25" s="235"/>
      <c r="H25" s="231"/>
      <c r="J25" s="231"/>
      <c r="K25" s="255"/>
    </row>
    <row r="26" spans="1:11" s="272" customFormat="1" ht="13" thickBot="1">
      <c r="A26" s="310"/>
      <c r="B26" s="272" t="s">
        <v>32</v>
      </c>
      <c r="C26" s="273">
        <f>C16+C21+C23</f>
        <v>801551.38000000012</v>
      </c>
      <c r="D26" s="274">
        <v>1525081.21</v>
      </c>
      <c r="E26" s="275">
        <f>E16+E21+E23</f>
        <v>2057262.8199999998</v>
      </c>
      <c r="F26" s="275">
        <f>F16+F21+F23+F24</f>
        <v>2076313.88</v>
      </c>
      <c r="G26" s="276">
        <f>G16+G21+G23</f>
        <v>-77394.660000000018</v>
      </c>
      <c r="H26" s="277">
        <f>H16+H21+H23</f>
        <v>278956.19</v>
      </c>
      <c r="I26" s="277">
        <f>I16+I21+I23</f>
        <v>62437.49</v>
      </c>
      <c r="J26" s="277">
        <f>J16+J21+J23</f>
        <v>-293107.36</v>
      </c>
      <c r="K26" s="278">
        <f t="shared" si="2"/>
        <v>-0.14247443600813239</v>
      </c>
    </row>
    <row r="27" spans="1:11" s="232" customFormat="1">
      <c r="A27" s="309"/>
      <c r="C27" s="241"/>
      <c r="D27" s="242"/>
      <c r="E27" s="256"/>
      <c r="F27" s="256"/>
      <c r="G27" s="279"/>
      <c r="H27" s="241"/>
      <c r="I27" s="206"/>
      <c r="J27" s="231"/>
      <c r="K27" s="343"/>
    </row>
    <row r="28" spans="1:11" s="227" customFormat="1">
      <c r="A28" s="311" t="s">
        <v>30</v>
      </c>
      <c r="B28" s="227" t="s">
        <v>70</v>
      </c>
      <c r="C28" s="218">
        <v>117910.89</v>
      </c>
      <c r="D28" s="204"/>
      <c r="E28" s="280"/>
      <c r="F28" s="280"/>
      <c r="G28" s="201"/>
      <c r="H28" s="218"/>
      <c r="I28" s="206"/>
      <c r="J28" s="218"/>
      <c r="K28" s="334"/>
    </row>
    <row r="29" spans="1:11" s="227" customFormat="1">
      <c r="A29" s="311"/>
      <c r="B29" s="227" t="s">
        <v>34</v>
      </c>
      <c r="C29" s="218"/>
      <c r="D29" s="215">
        <v>331123.19</v>
      </c>
      <c r="E29" s="216"/>
      <c r="F29" s="216"/>
      <c r="G29" s="201"/>
      <c r="H29" s="218"/>
      <c r="I29" s="206"/>
      <c r="J29" s="218"/>
      <c r="K29" s="334"/>
    </row>
    <row r="30" spans="1:11" s="227" customFormat="1">
      <c r="A30" s="311"/>
      <c r="B30" s="227" t="s">
        <v>35</v>
      </c>
      <c r="C30" s="218"/>
      <c r="D30" s="215"/>
      <c r="E30" s="216">
        <v>327125.46999999997</v>
      </c>
      <c r="F30" s="216">
        <v>238000</v>
      </c>
      <c r="G30" s="201"/>
      <c r="H30" s="218"/>
      <c r="I30" s="206"/>
      <c r="J30" s="218"/>
      <c r="K30" s="334"/>
    </row>
    <row r="31" spans="1:11" s="227" customFormat="1">
      <c r="A31" s="311"/>
      <c r="B31" s="227" t="s">
        <v>36</v>
      </c>
      <c r="C31" s="218"/>
      <c r="D31" s="204"/>
      <c r="E31" s="216"/>
      <c r="F31" s="216"/>
      <c r="G31" s="206"/>
      <c r="H31" s="218"/>
      <c r="I31" s="206"/>
      <c r="J31" s="241"/>
      <c r="K31" s="334"/>
    </row>
    <row r="32" spans="1:11" s="214" customFormat="1">
      <c r="A32" s="302"/>
      <c r="C32" s="203"/>
      <c r="D32" s="204"/>
      <c r="E32" s="280"/>
      <c r="F32" s="280"/>
      <c r="G32" s="206"/>
      <c r="H32" s="203"/>
      <c r="I32" s="206"/>
      <c r="J32" s="281"/>
      <c r="K32" s="334"/>
    </row>
    <row r="33" spans="1:11" s="232" customFormat="1">
      <c r="A33" s="312" t="s">
        <v>37</v>
      </c>
      <c r="B33" s="232" t="s">
        <v>71</v>
      </c>
      <c r="C33" s="218">
        <v>40933.339999999997</v>
      </c>
      <c r="D33" s="215">
        <v>129536.67</v>
      </c>
      <c r="E33" s="216">
        <f>630961.1-E30</f>
        <v>303835.63</v>
      </c>
      <c r="F33" s="216">
        <f>789322-F30</f>
        <v>551322</v>
      </c>
      <c r="G33" s="206"/>
      <c r="H33" s="218"/>
      <c r="I33" s="206"/>
      <c r="J33" s="218"/>
      <c r="K33" s="334"/>
    </row>
    <row r="34" spans="1:11" s="232" customFormat="1">
      <c r="A34" s="312"/>
      <c r="B34" s="232" t="s">
        <v>39</v>
      </c>
      <c r="C34" s="218"/>
      <c r="D34" s="215">
        <v>427303.08</v>
      </c>
      <c r="E34" s="216">
        <v>0</v>
      </c>
      <c r="F34" s="216">
        <v>0</v>
      </c>
      <c r="G34" s="206"/>
      <c r="H34" s="218"/>
      <c r="I34" s="206"/>
      <c r="J34" s="218"/>
      <c r="K34" s="334"/>
    </row>
    <row r="35" spans="1:11" s="232" customFormat="1">
      <c r="A35" s="312"/>
      <c r="B35" s="232" t="s">
        <v>40</v>
      </c>
      <c r="C35" s="218"/>
      <c r="D35" s="215"/>
      <c r="E35" s="216">
        <v>336712.86</v>
      </c>
      <c r="F35" s="216">
        <v>4992.78</v>
      </c>
      <c r="G35" s="206"/>
      <c r="H35" s="218"/>
      <c r="I35" s="206"/>
      <c r="J35" s="218"/>
      <c r="K35" s="334"/>
    </row>
    <row r="36" spans="1:11" s="201" customFormat="1">
      <c r="A36" s="300"/>
      <c r="B36" s="232" t="s">
        <v>41</v>
      </c>
      <c r="C36" s="218">
        <v>843</v>
      </c>
      <c r="D36" s="282">
        <v>2535.34</v>
      </c>
      <c r="E36" s="239">
        <v>8225.39</v>
      </c>
      <c r="F36" s="239">
        <v>0</v>
      </c>
      <c r="H36" s="218"/>
      <c r="I36" s="206"/>
      <c r="J36" s="218"/>
      <c r="K36" s="334"/>
    </row>
    <row r="37" spans="1:11" s="232" customFormat="1">
      <c r="A37" s="312"/>
      <c r="B37" s="232" t="s">
        <v>42</v>
      </c>
      <c r="C37" s="218"/>
      <c r="D37" s="215">
        <v>559375.09</v>
      </c>
      <c r="E37" s="216">
        <f>SUM(E33:E36)</f>
        <v>648773.88</v>
      </c>
      <c r="F37" s="216">
        <f>SUM(F33:F36)</f>
        <v>556314.78</v>
      </c>
      <c r="G37" s="206"/>
      <c r="H37" s="218"/>
      <c r="I37" s="206"/>
      <c r="J37" s="241"/>
      <c r="K37" s="334"/>
    </row>
    <row r="38" spans="1:11" s="214" customFormat="1">
      <c r="A38" s="302"/>
      <c r="C38" s="203"/>
      <c r="D38" s="204"/>
      <c r="E38" s="216"/>
      <c r="F38" s="216"/>
      <c r="G38" s="201"/>
      <c r="H38" s="203"/>
      <c r="I38" s="206"/>
      <c r="J38" s="281"/>
      <c r="K38" s="334"/>
    </row>
    <row r="39" spans="1:11" s="201" customFormat="1" ht="13">
      <c r="A39" s="300" t="s">
        <v>18</v>
      </c>
      <c r="B39" s="232" t="s">
        <v>72</v>
      </c>
      <c r="C39" s="218">
        <v>131151.76999999999</v>
      </c>
      <c r="D39" s="204"/>
      <c r="E39" s="216"/>
      <c r="F39" s="216"/>
      <c r="H39" s="283"/>
      <c r="I39" s="206"/>
      <c r="J39" s="218"/>
      <c r="K39" s="334"/>
    </row>
    <row r="40" spans="1:11" s="270" customFormat="1" ht="13" thickBot="1">
      <c r="A40" s="313"/>
      <c r="B40" s="213" t="s">
        <v>73</v>
      </c>
      <c r="C40" s="284"/>
      <c r="D40" s="285"/>
      <c r="E40" s="286">
        <f>E30+E37</f>
        <v>975899.35</v>
      </c>
      <c r="F40" s="286">
        <f>F37+F30</f>
        <v>794314.78</v>
      </c>
      <c r="H40" s="284"/>
      <c r="J40" s="287"/>
      <c r="K40" s="335"/>
    </row>
    <row r="41" spans="1:11" s="201" customFormat="1">
      <c r="A41" s="300"/>
      <c r="B41" s="232"/>
      <c r="C41" s="218"/>
      <c r="D41" s="204"/>
      <c r="E41" s="216"/>
      <c r="F41" s="216"/>
      <c r="G41" s="206"/>
      <c r="H41" s="218"/>
      <c r="I41" s="206"/>
      <c r="J41" s="241"/>
      <c r="K41" s="334"/>
    </row>
    <row r="42" spans="1:11" s="201" customFormat="1">
      <c r="A42" s="314" t="s">
        <v>30</v>
      </c>
      <c r="B42" s="232" t="s">
        <v>49</v>
      </c>
      <c r="C42" s="218"/>
      <c r="D42" s="204"/>
      <c r="E42" s="216">
        <v>1100000</v>
      </c>
      <c r="F42" s="216">
        <v>1100000</v>
      </c>
      <c r="G42" s="206"/>
      <c r="H42" s="218"/>
      <c r="I42" s="206"/>
      <c r="J42" s="241"/>
      <c r="K42" s="334"/>
    </row>
    <row r="43" spans="1:11" s="201" customFormat="1">
      <c r="A43" s="312" t="s">
        <v>37</v>
      </c>
      <c r="B43" s="232" t="s">
        <v>45</v>
      </c>
      <c r="C43" s="218"/>
      <c r="D43" s="204"/>
      <c r="E43" s="216">
        <v>-325000</v>
      </c>
      <c r="F43" s="216">
        <v>0</v>
      </c>
      <c r="G43" s="206"/>
      <c r="H43" s="218"/>
      <c r="I43" s="206"/>
      <c r="J43" s="241"/>
      <c r="K43" s="334"/>
    </row>
    <row r="44" spans="1:11" s="201" customFormat="1" ht="13" thickBot="1">
      <c r="A44" s="313"/>
      <c r="B44" s="213"/>
      <c r="C44" s="284"/>
      <c r="D44" s="285"/>
      <c r="E44" s="286"/>
      <c r="F44" s="286"/>
      <c r="G44" s="270"/>
      <c r="H44" s="284"/>
      <c r="I44" s="270"/>
      <c r="J44" s="287"/>
      <c r="K44" s="335"/>
    </row>
    <row r="45" spans="1:11" s="201" customFormat="1" ht="13" thickBot="1">
      <c r="A45" s="315"/>
      <c r="B45" s="272" t="s">
        <v>46</v>
      </c>
      <c r="C45" s="289"/>
      <c r="D45" s="290"/>
      <c r="E45" s="275">
        <f>E43+E42</f>
        <v>775000</v>
      </c>
      <c r="F45" s="275">
        <f>SUM(F42:F43)</f>
        <v>1100000</v>
      </c>
      <c r="G45" s="288"/>
      <c r="H45" s="289"/>
      <c r="I45" s="288"/>
      <c r="J45" s="291"/>
      <c r="K45" s="336"/>
    </row>
    <row r="46" spans="1:11" s="214" customFormat="1" ht="13" thickBot="1">
      <c r="A46" s="302"/>
      <c r="C46" s="203"/>
      <c r="D46" s="204"/>
      <c r="E46" s="216"/>
      <c r="F46" s="216"/>
      <c r="G46" s="201"/>
      <c r="H46" s="203"/>
      <c r="I46" s="206"/>
      <c r="J46" s="231"/>
      <c r="K46" s="334"/>
    </row>
    <row r="47" spans="1:11" s="272" customFormat="1" ht="13" thickBot="1">
      <c r="A47" s="310"/>
      <c r="B47" s="272" t="s">
        <v>47</v>
      </c>
      <c r="C47" s="273">
        <f>C33+C28+C26+C39+C36</f>
        <v>1092390.3800000001</v>
      </c>
      <c r="D47" s="274">
        <v>2415579.4900000002</v>
      </c>
      <c r="E47" s="275">
        <f>E26+E40+E45</f>
        <v>3808162.17</v>
      </c>
      <c r="F47" s="275">
        <f>F26+F40+F45</f>
        <v>3970628.66</v>
      </c>
      <c r="G47" s="292"/>
      <c r="H47" s="273"/>
      <c r="I47" s="273"/>
      <c r="J47" s="273"/>
      <c r="K47" s="337"/>
    </row>
    <row r="48" spans="1:11" s="272" customFormat="1" ht="13" thickBot="1">
      <c r="A48" s="310"/>
      <c r="C48" s="273"/>
      <c r="D48" s="274"/>
      <c r="E48" s="275"/>
      <c r="F48" s="275"/>
      <c r="H48" s="273"/>
      <c r="J48" s="273"/>
      <c r="K48" s="337"/>
    </row>
    <row r="49" spans="1:11" s="294" customFormat="1" ht="17" customHeight="1" thickBot="1">
      <c r="A49" s="316"/>
      <c r="B49" s="272" t="s">
        <v>48</v>
      </c>
      <c r="C49" s="273">
        <v>445045</v>
      </c>
      <c r="D49" s="295">
        <v>497147.68</v>
      </c>
      <c r="E49" s="275">
        <v>521301.78</v>
      </c>
      <c r="F49" s="275">
        <v>545885.89</v>
      </c>
      <c r="G49" s="272"/>
      <c r="H49" s="340"/>
      <c r="I49" s="341"/>
      <c r="J49" s="341"/>
      <c r="K49" s="342"/>
    </row>
    <row r="50" spans="1:11" s="296" customFormat="1">
      <c r="A50" s="317"/>
      <c r="D50" s="297"/>
      <c r="E50" s="298"/>
      <c r="F50" s="298"/>
      <c r="I50" s="299"/>
      <c r="J50" s="246"/>
      <c r="K50" s="179"/>
    </row>
  </sheetData>
  <mergeCells count="1">
    <mergeCell ref="H49:K49"/>
  </mergeCells>
  <pageMargins left="0.2" right="0.2" top="0.25" bottom="0.25" header="0.05" footer="0.0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2D67-513A-C84D-86DF-3E78EB553E2F}">
  <dimension ref="A1:U50"/>
  <sheetViews>
    <sheetView topLeftCell="A18" workbookViewId="0">
      <selection activeCell="F50" sqref="F50"/>
    </sheetView>
  </sheetViews>
  <sheetFormatPr baseColWidth="10" defaultRowHeight="12"/>
  <cols>
    <col min="1" max="1" width="3" style="243" customWidth="1"/>
    <col min="2" max="2" width="22.83203125" style="243" customWidth="1"/>
    <col min="3" max="3" width="12.1640625" style="243" customWidth="1"/>
    <col min="4" max="4" width="12" style="243" bestFit="1" customWidth="1"/>
    <col min="5" max="5" width="12.5" style="243" customWidth="1"/>
    <col min="6" max="6" width="12.83203125" style="243" customWidth="1"/>
    <col min="7" max="7" width="11.33203125" style="243" customWidth="1"/>
    <col min="8" max="8" width="10.6640625" style="243" bestFit="1" customWidth="1"/>
    <col min="9" max="9" width="11" style="243" customWidth="1"/>
    <col min="10" max="10" width="10.83203125" style="243" customWidth="1"/>
    <col min="11" max="11" width="5.5" style="243" bestFit="1" customWidth="1"/>
    <col min="12" max="16384" width="10.83203125" style="243"/>
  </cols>
  <sheetData>
    <row r="1" spans="1:21" s="201" customFormat="1" ht="13" thickBot="1">
      <c r="B1" s="202"/>
      <c r="C1" s="203"/>
      <c r="D1" s="204"/>
      <c r="E1" s="205" t="s">
        <v>1</v>
      </c>
      <c r="F1" s="205" t="s">
        <v>2</v>
      </c>
      <c r="H1" s="203"/>
      <c r="I1" s="206"/>
      <c r="J1" s="183" t="s">
        <v>2</v>
      </c>
      <c r="K1" s="207" t="s">
        <v>2</v>
      </c>
    </row>
    <row r="2" spans="1:21" s="213" customFormat="1" ht="18" customHeight="1" thickTop="1" thickBot="1">
      <c r="A2" s="326" t="s">
        <v>52</v>
      </c>
      <c r="B2" s="208"/>
      <c r="C2" s="209">
        <v>38898</v>
      </c>
      <c r="D2" s="210">
        <v>42185</v>
      </c>
      <c r="E2" s="211">
        <v>43646</v>
      </c>
      <c r="F2" s="211">
        <v>43921</v>
      </c>
      <c r="G2" s="27" t="s">
        <v>4</v>
      </c>
      <c r="H2" s="26" t="s">
        <v>75</v>
      </c>
      <c r="I2" s="27" t="s">
        <v>84</v>
      </c>
      <c r="J2" s="212" t="s">
        <v>85</v>
      </c>
      <c r="K2" s="186" t="s">
        <v>79</v>
      </c>
    </row>
    <row r="3" spans="1:21" s="214" customFormat="1" ht="13" thickTop="1">
      <c r="B3" s="214" t="s">
        <v>10</v>
      </c>
      <c r="C3" s="203">
        <v>107880.5</v>
      </c>
      <c r="D3" s="215">
        <v>68736.680000000008</v>
      </c>
      <c r="E3" s="216">
        <v>0</v>
      </c>
      <c r="F3" s="216"/>
      <c r="G3" s="206"/>
      <c r="H3" s="203"/>
      <c r="I3" s="217"/>
      <c r="J3" s="218">
        <f>G3-H3+I3</f>
        <v>0</v>
      </c>
      <c r="K3" s="219"/>
    </row>
    <row r="4" spans="1:21" s="220" customFormat="1">
      <c r="B4" s="220" t="s">
        <v>11</v>
      </c>
      <c r="C4" s="221"/>
      <c r="D4" s="215">
        <v>85630.99</v>
      </c>
      <c r="E4" s="216">
        <v>141779.75</v>
      </c>
      <c r="F4" s="216">
        <v>119354.46</v>
      </c>
      <c r="G4" s="222">
        <f t="shared" ref="G4:G24" si="0">F4-E4</f>
        <v>-22425.289999999994</v>
      </c>
      <c r="H4" s="223"/>
      <c r="I4" s="224">
        <f>1747+1757+1774</f>
        <v>5278</v>
      </c>
      <c r="J4" s="225">
        <f>G4-H4+I4</f>
        <v>-17147.289999999994</v>
      </c>
      <c r="K4" s="226">
        <f>J4/E4</f>
        <v>-0.12094315302432113</v>
      </c>
      <c r="L4" s="201"/>
      <c r="M4" s="201"/>
    </row>
    <row r="5" spans="1:21" s="227" customFormat="1">
      <c r="A5" s="227" t="s">
        <v>12</v>
      </c>
      <c r="B5" s="227" t="s">
        <v>13</v>
      </c>
      <c r="C5" s="228"/>
      <c r="D5" s="229">
        <v>154367.67000000001</v>
      </c>
      <c r="E5" s="230">
        <f>SUM(E3:E4)</f>
        <v>141779.75</v>
      </c>
      <c r="F5" s="230">
        <f>SUM(F3:F4)</f>
        <v>119354.46</v>
      </c>
      <c r="G5" s="206">
        <f t="shared" si="0"/>
        <v>-22425.289999999994</v>
      </c>
      <c r="H5" s="231">
        <f t="shared" ref="H5:J5" si="1">SUM(H3:H4)</f>
        <v>0</v>
      </c>
      <c r="I5" s="232">
        <f t="shared" si="1"/>
        <v>5278</v>
      </c>
      <c r="J5" s="231">
        <f t="shared" si="1"/>
        <v>-17147.289999999994</v>
      </c>
      <c r="K5" s="233">
        <f t="shared" ref="K5:K27" si="2">J5/E5</f>
        <v>-0.12094315302432113</v>
      </c>
      <c r="L5" s="232"/>
      <c r="M5" s="232"/>
    </row>
    <row r="6" spans="1:21" s="214" customFormat="1">
      <c r="B6" s="236" t="s">
        <v>14</v>
      </c>
      <c r="C6" s="236">
        <v>243337.69</v>
      </c>
      <c r="D6" s="215">
        <v>128325.54</v>
      </c>
      <c r="E6" s="237">
        <v>0</v>
      </c>
      <c r="F6" s="237"/>
      <c r="G6" s="206">
        <f t="shared" si="0"/>
        <v>0</v>
      </c>
      <c r="H6" s="203">
        <v>0</v>
      </c>
      <c r="I6" s="217"/>
      <c r="J6" s="218">
        <f>G6-H6+I6</f>
        <v>0</v>
      </c>
      <c r="K6" s="233"/>
      <c r="L6" s="201"/>
      <c r="M6" s="201"/>
    </row>
    <row r="7" spans="1:21" s="220" customFormat="1">
      <c r="B7" s="220" t="s">
        <v>15</v>
      </c>
      <c r="C7" s="238"/>
      <c r="D7" s="215">
        <v>158702.09</v>
      </c>
      <c r="E7" s="216">
        <v>252755.25</v>
      </c>
      <c r="F7" s="239">
        <v>210740.82</v>
      </c>
      <c r="G7" s="222">
        <f t="shared" si="0"/>
        <v>-42014.429999999993</v>
      </c>
      <c r="H7" s="223"/>
      <c r="I7" s="224">
        <f>3778+3791+3814</f>
        <v>11383</v>
      </c>
      <c r="J7" s="225">
        <f>G7-H7+I7</f>
        <v>-30631.429999999993</v>
      </c>
      <c r="K7" s="226">
        <f t="shared" si="2"/>
        <v>-0.12119008408331773</v>
      </c>
      <c r="L7" s="201"/>
      <c r="M7" s="201"/>
    </row>
    <row r="8" spans="1:21" s="227" customFormat="1">
      <c r="A8" s="227" t="s">
        <v>16</v>
      </c>
      <c r="B8" s="227" t="s">
        <v>17</v>
      </c>
      <c r="C8" s="231"/>
      <c r="D8" s="229">
        <v>287027.63</v>
      </c>
      <c r="E8" s="230">
        <f>SUM(E6:E7)</f>
        <v>252755.25</v>
      </c>
      <c r="F8" s="240">
        <f>SUM(F6:F7)</f>
        <v>210740.82</v>
      </c>
      <c r="G8" s="206">
        <f t="shared" si="0"/>
        <v>-42014.429999999993</v>
      </c>
      <c r="H8" s="231">
        <f>SUM(H6:H7)</f>
        <v>0</v>
      </c>
      <c r="I8" s="232">
        <f t="shared" ref="I8:J8" si="3">SUM(I6:I7)</f>
        <v>11383</v>
      </c>
      <c r="J8" s="231">
        <f t="shared" si="3"/>
        <v>-30631.429999999993</v>
      </c>
      <c r="K8" s="233">
        <f t="shared" si="2"/>
        <v>-0.12119008408331773</v>
      </c>
    </row>
    <row r="9" spans="1:21" s="227" customFormat="1">
      <c r="A9" s="227" t="s">
        <v>18</v>
      </c>
      <c r="B9" s="227" t="s">
        <v>87</v>
      </c>
      <c r="C9" s="231">
        <v>34391.75</v>
      </c>
      <c r="D9" s="215">
        <v>81631.039999999994</v>
      </c>
      <c r="E9" s="216">
        <v>85839.66</v>
      </c>
      <c r="F9" s="216">
        <v>73854.289999999994</v>
      </c>
      <c r="G9" s="206">
        <f t="shared" si="0"/>
        <v>-11985.37000000001</v>
      </c>
      <c r="H9" s="218">
        <v>2000</v>
      </c>
      <c r="I9" s="232">
        <f>1058+1063+1076</f>
        <v>3197</v>
      </c>
      <c r="J9" s="231">
        <f t="shared" ref="J9:J14" si="4">G9-H9+I9</f>
        <v>-10788.37000000001</v>
      </c>
      <c r="K9" s="233">
        <f t="shared" si="2"/>
        <v>-0.12568048382297892</v>
      </c>
    </row>
    <row r="10" spans="1:21" s="227" customFormat="1">
      <c r="A10" s="227" t="s">
        <v>20</v>
      </c>
      <c r="B10" s="227" t="s">
        <v>63</v>
      </c>
      <c r="C10" s="231"/>
      <c r="D10" s="215">
        <v>120636.46</v>
      </c>
      <c r="E10" s="216">
        <v>150250.49</v>
      </c>
      <c r="F10" s="216">
        <v>127709.82</v>
      </c>
      <c r="G10" s="206">
        <f t="shared" si="0"/>
        <v>-22540.669999999984</v>
      </c>
      <c r="H10" s="218">
        <f>200+1000</f>
        <v>1200</v>
      </c>
      <c r="I10" s="232">
        <f>1817+1830+1857</f>
        <v>5504</v>
      </c>
      <c r="J10" s="231">
        <f t="shared" si="4"/>
        <v>-18236.669999999984</v>
      </c>
      <c r="K10" s="233">
        <f t="shared" si="2"/>
        <v>-0.12137511165520981</v>
      </c>
    </row>
    <row r="11" spans="1:21" s="227" customFormat="1">
      <c r="A11" s="227" t="s">
        <v>22</v>
      </c>
      <c r="B11" s="227" t="s">
        <v>62</v>
      </c>
      <c r="C11" s="231"/>
      <c r="D11" s="215">
        <v>51112.78</v>
      </c>
      <c r="E11" s="216">
        <v>118927.03</v>
      </c>
      <c r="F11" s="216">
        <v>100921.42</v>
      </c>
      <c r="G11" s="206">
        <f t="shared" si="0"/>
        <v>-18005.61</v>
      </c>
      <c r="H11" s="218">
        <f>350</f>
        <v>350</v>
      </c>
      <c r="I11" s="232">
        <f>1230+1272+1356</f>
        <v>3858</v>
      </c>
      <c r="J11" s="231">
        <f t="shared" si="4"/>
        <v>-14497.61</v>
      </c>
      <c r="K11" s="233">
        <f t="shared" si="2"/>
        <v>-0.12190340581110956</v>
      </c>
    </row>
    <row r="12" spans="1:21" s="227" customFormat="1">
      <c r="A12" s="227" t="s">
        <v>24</v>
      </c>
      <c r="B12" s="227" t="s">
        <v>86</v>
      </c>
      <c r="C12" s="231"/>
      <c r="D12" s="215">
        <v>56403.78</v>
      </c>
      <c r="E12" s="216">
        <v>168629.77</v>
      </c>
      <c r="F12" s="216">
        <v>146658.95000000001</v>
      </c>
      <c r="G12" s="206">
        <f t="shared" si="0"/>
        <v>-21970.819999999978</v>
      </c>
      <c r="H12" s="218">
        <v>5000</v>
      </c>
      <c r="I12" s="232">
        <f>1834+1918+1994</f>
        <v>5746</v>
      </c>
      <c r="J12" s="231">
        <f t="shared" si="4"/>
        <v>-21224.819999999978</v>
      </c>
      <c r="K12" s="233">
        <f t="shared" si="2"/>
        <v>-0.12586638764910835</v>
      </c>
    </row>
    <row r="13" spans="1:21" s="227" customFormat="1">
      <c r="A13" s="227" t="s">
        <v>26</v>
      </c>
      <c r="B13" s="227" t="s">
        <v>80</v>
      </c>
      <c r="C13" s="231"/>
      <c r="D13" s="215"/>
      <c r="E13" s="216">
        <v>62612.83</v>
      </c>
      <c r="F13" s="216">
        <v>52806.84</v>
      </c>
      <c r="G13" s="206">
        <f t="shared" si="0"/>
        <v>-9805.9900000000052</v>
      </c>
      <c r="H13" s="231"/>
      <c r="I13" s="232">
        <f>732+740+757</f>
        <v>2229</v>
      </c>
      <c r="J13" s="231">
        <f t="shared" si="4"/>
        <v>-7576.9900000000052</v>
      </c>
      <c r="K13" s="233">
        <f t="shared" si="2"/>
        <v>-0.12101337697082219</v>
      </c>
    </row>
    <row r="14" spans="1:21" s="227" customFormat="1">
      <c r="A14" s="227" t="s">
        <v>27</v>
      </c>
      <c r="B14" s="227" t="s">
        <v>28</v>
      </c>
      <c r="C14" s="231"/>
      <c r="D14" s="215"/>
      <c r="E14" s="216">
        <v>101237.75</v>
      </c>
      <c r="F14" s="216">
        <v>254481.66</v>
      </c>
      <c r="G14" s="206">
        <f t="shared" si="0"/>
        <v>153243.91</v>
      </c>
      <c r="H14" s="218">
        <f>209356.19</f>
        <v>209356.19</v>
      </c>
      <c r="I14" s="232">
        <f>1261+1261+1935</f>
        <v>4457</v>
      </c>
      <c r="J14" s="231">
        <f t="shared" si="4"/>
        <v>-51655.28</v>
      </c>
      <c r="K14" s="244">
        <f>J14/(E14+H14)</f>
        <v>-0.16631129377475942</v>
      </c>
    </row>
    <row r="15" spans="1:21" s="227" customFormat="1">
      <c r="A15" s="227" t="s">
        <v>58</v>
      </c>
      <c r="B15" s="245" t="s">
        <v>59</v>
      </c>
      <c r="C15" s="245"/>
      <c r="D15" s="231"/>
      <c r="E15" s="216">
        <v>0</v>
      </c>
      <c r="F15" s="216">
        <v>51529.23</v>
      </c>
      <c r="G15" s="206">
        <f>F15-0</f>
        <v>51529.23</v>
      </c>
      <c r="H15" s="218">
        <f>44685+315+5000+10000+250+100+700</f>
        <v>61050</v>
      </c>
      <c r="I15" s="232">
        <f>0+0+806</f>
        <v>806</v>
      </c>
      <c r="J15" s="231">
        <f t="shared" ref="J15" si="5">G15-H15+I15</f>
        <v>-8714.7699999999968</v>
      </c>
      <c r="K15" s="244">
        <f>J15/H15</f>
        <v>-0.14274807534807529</v>
      </c>
      <c r="L15" s="246"/>
      <c r="M15" s="246"/>
      <c r="N15" s="246"/>
      <c r="O15" s="206"/>
      <c r="P15" s="232"/>
      <c r="Q15" s="232"/>
      <c r="R15" s="232"/>
      <c r="S15" s="247"/>
      <c r="T15" s="248"/>
      <c r="U15" s="232"/>
    </row>
    <row r="16" spans="1:21" s="249" customFormat="1" ht="13" thickBot="1">
      <c r="B16" s="249" t="s">
        <v>29</v>
      </c>
      <c r="C16" s="250">
        <f>SUM(C3:C15)</f>
        <v>385609.94</v>
      </c>
      <c r="D16" s="251">
        <v>751179.36</v>
      </c>
      <c r="E16" s="252">
        <f>E14+E13+E12+E11+E10+E9+E8+E5</f>
        <v>1082032.53</v>
      </c>
      <c r="F16" s="252">
        <f>F5+F8+F9+F10+F11+F12+F13+F14+F15</f>
        <v>1138057.49</v>
      </c>
      <c r="G16" s="253">
        <f>F16-E16</f>
        <v>56024.959999999963</v>
      </c>
      <c r="H16" s="254">
        <f>H5+H8+H9+H10+H11+H12+H13+H14+H15</f>
        <v>278956.19</v>
      </c>
      <c r="I16" s="254">
        <f>I5+I8+I9+I10+I11+I12+I13+I14</f>
        <v>41652</v>
      </c>
      <c r="J16" s="250">
        <f>J5+J8+J9+J10+J11+J12+J13+J14+J15</f>
        <v>-180473.22999999995</v>
      </c>
      <c r="K16" s="255">
        <f>J16/E16</f>
        <v>-0.16679094666405264</v>
      </c>
    </row>
    <row r="17" spans="1:11" s="232" customFormat="1" ht="14" thickTop="1" thickBot="1">
      <c r="A17" s="326" t="s">
        <v>53</v>
      </c>
      <c r="B17" s="208"/>
      <c r="C17" s="231"/>
      <c r="D17" s="234"/>
      <c r="E17" s="256"/>
      <c r="F17" s="256"/>
      <c r="G17" s="206"/>
      <c r="H17" s="231"/>
      <c r="J17" s="231"/>
      <c r="K17" s="247"/>
    </row>
    <row r="18" spans="1:11" s="214" customFormat="1" ht="13" thickTop="1">
      <c r="C18" s="203"/>
      <c r="D18" s="234"/>
      <c r="E18" s="256"/>
      <c r="F18" s="256"/>
      <c r="G18" s="206"/>
      <c r="H18" s="203"/>
      <c r="I18" s="206"/>
      <c r="J18" s="231"/>
      <c r="K18" s="233"/>
    </row>
    <row r="19" spans="1:11" s="214" customFormat="1">
      <c r="A19" s="214" t="s">
        <v>30</v>
      </c>
      <c r="B19" s="257" t="s">
        <v>74</v>
      </c>
      <c r="C19" s="203">
        <v>210866.85</v>
      </c>
      <c r="D19" s="215">
        <v>454092.35</v>
      </c>
      <c r="E19" s="216">
        <v>851524.87</v>
      </c>
      <c r="F19" s="216">
        <v>730252.14</v>
      </c>
      <c r="G19" s="218">
        <f t="shared" si="0"/>
        <v>-121272.72999999998</v>
      </c>
      <c r="H19" s="206"/>
      <c r="I19" s="203">
        <f>6820.94+6918.23+7046.32</f>
        <v>20785.489999999998</v>
      </c>
      <c r="J19" s="231">
        <f>G19-H19+I19</f>
        <v>-100487.23999999999</v>
      </c>
      <c r="K19" s="233">
        <f t="shared" si="2"/>
        <v>-0.11800857912699601</v>
      </c>
    </row>
    <row r="20" spans="1:11" s="214" customFormat="1">
      <c r="B20" s="258" t="s">
        <v>31</v>
      </c>
      <c r="C20" s="236">
        <v>118222.79</v>
      </c>
      <c r="D20" s="215">
        <v>221036.22</v>
      </c>
      <c r="E20" s="216">
        <v>0</v>
      </c>
      <c r="F20" s="216"/>
      <c r="G20" s="225">
        <f t="shared" si="0"/>
        <v>0</v>
      </c>
      <c r="H20" s="217"/>
      <c r="I20" s="218"/>
      <c r="J20" s="231">
        <f>G20-H20+I20</f>
        <v>0</v>
      </c>
      <c r="K20" s="259"/>
    </row>
    <row r="21" spans="1:11" s="260" customFormat="1">
      <c r="B21" s="232" t="s">
        <v>69</v>
      </c>
      <c r="C21" s="261">
        <f>SUM(C19:C20)</f>
        <v>329089.64</v>
      </c>
      <c r="D21" s="229">
        <v>675128.56999999983</v>
      </c>
      <c r="E21" s="230">
        <f>SUM(E19:E20)</f>
        <v>851524.87</v>
      </c>
      <c r="F21" s="230">
        <f>F19</f>
        <v>730252.14</v>
      </c>
      <c r="G21" s="218">
        <f t="shared" si="0"/>
        <v>-121272.72999999998</v>
      </c>
      <c r="H21" s="260">
        <f t="shared" ref="H21:I21" si="6">SUM(H19:H20)</f>
        <v>0</v>
      </c>
      <c r="I21" s="262">
        <f t="shared" si="6"/>
        <v>20785.489999999998</v>
      </c>
      <c r="J21" s="261">
        <f>SUM(J19:J20)</f>
        <v>-100487.23999999999</v>
      </c>
      <c r="K21" s="263">
        <f t="shared" si="2"/>
        <v>-0.11800857912699601</v>
      </c>
    </row>
    <row r="22" spans="1:11" s="264" customFormat="1" ht="13" thickBot="1">
      <c r="B22" s="213"/>
      <c r="C22" s="265"/>
      <c r="D22" s="266"/>
      <c r="E22" s="267"/>
      <c r="F22" s="267"/>
      <c r="G22" s="268">
        <f t="shared" si="0"/>
        <v>0</v>
      </c>
      <c r="H22" s="269"/>
      <c r="I22" s="270"/>
      <c r="J22" s="271"/>
      <c r="K22" s="255"/>
    </row>
    <row r="23" spans="1:11" s="214" customFormat="1">
      <c r="C23" s="327"/>
      <c r="D23" s="234"/>
      <c r="E23" s="256"/>
      <c r="F23" s="256"/>
      <c r="G23" s="206">
        <f t="shared" si="0"/>
        <v>0</v>
      </c>
      <c r="H23" s="241"/>
      <c r="I23" s="206"/>
      <c r="J23" s="231"/>
      <c r="K23" s="247"/>
    </row>
    <row r="24" spans="1:11" s="227" customFormat="1">
      <c r="A24" s="227" t="s">
        <v>37</v>
      </c>
      <c r="B24" s="227" t="s">
        <v>89</v>
      </c>
      <c r="C24" s="231">
        <v>86851.8</v>
      </c>
      <c r="D24" s="215">
        <v>98773.28</v>
      </c>
      <c r="E24" s="216">
        <v>123705.42</v>
      </c>
      <c r="F24" s="216">
        <v>111558.53</v>
      </c>
      <c r="G24" s="206">
        <f t="shared" si="0"/>
        <v>-12146.89</v>
      </c>
      <c r="H24" s="218"/>
      <c r="I24" s="206"/>
      <c r="J24" s="231">
        <f>G24-H24+I24</f>
        <v>-12146.89</v>
      </c>
      <c r="K24" s="233">
        <f t="shared" si="2"/>
        <v>-9.8192059814355748E-2</v>
      </c>
    </row>
    <row r="25" spans="1:11" s="227" customFormat="1">
      <c r="A25" s="227" t="s">
        <v>18</v>
      </c>
      <c r="B25" s="227" t="s">
        <v>88</v>
      </c>
      <c r="C25" s="231"/>
      <c r="D25" s="215"/>
      <c r="E25" s="216"/>
      <c r="F25" s="216">
        <v>96445.72</v>
      </c>
      <c r="G25" s="206"/>
      <c r="H25" s="218">
        <v>100000</v>
      </c>
      <c r="I25" s="206">
        <v>0</v>
      </c>
      <c r="J25" s="231">
        <f>F25-H25</f>
        <v>-3554.2799999999988</v>
      </c>
      <c r="K25" s="233">
        <f>J25/H25</f>
        <v>-3.5542799999999986E-2</v>
      </c>
    </row>
    <row r="26" spans="1:11" s="232" customFormat="1" ht="13" thickBot="1">
      <c r="C26" s="231"/>
      <c r="D26" s="234"/>
      <c r="E26" s="235"/>
      <c r="F26" s="235"/>
      <c r="H26" s="231"/>
      <c r="J26" s="231"/>
      <c r="K26" s="255"/>
    </row>
    <row r="27" spans="1:11" s="272" customFormat="1" ht="13" thickBot="1">
      <c r="B27" s="272" t="s">
        <v>32</v>
      </c>
      <c r="C27" s="273">
        <f>C16+C21+C24</f>
        <v>801551.38000000012</v>
      </c>
      <c r="D27" s="274">
        <v>1525081.21</v>
      </c>
      <c r="E27" s="275">
        <f t="shared" ref="E27:J27" si="7">E16+E21+E24</f>
        <v>2057262.8199999998</v>
      </c>
      <c r="F27" s="275">
        <f>F16+F21+F24+F25</f>
        <v>2076313.88</v>
      </c>
      <c r="G27" s="276">
        <f t="shared" si="7"/>
        <v>-77394.660000000018</v>
      </c>
      <c r="H27" s="277">
        <f t="shared" si="7"/>
        <v>278956.19</v>
      </c>
      <c r="I27" s="277">
        <f t="shared" si="7"/>
        <v>62437.49</v>
      </c>
      <c r="J27" s="277">
        <f t="shared" si="7"/>
        <v>-293107.36</v>
      </c>
      <c r="K27" s="278">
        <f t="shared" si="2"/>
        <v>-0.14247443600813239</v>
      </c>
    </row>
    <row r="28" spans="1:11" s="227" customFormat="1">
      <c r="A28" s="257" t="s">
        <v>30</v>
      </c>
      <c r="B28" s="227" t="s">
        <v>70</v>
      </c>
      <c r="C28" s="218">
        <v>117910.89</v>
      </c>
      <c r="D28" s="204"/>
      <c r="E28" s="280"/>
      <c r="F28" s="280"/>
      <c r="G28" s="201"/>
      <c r="H28" s="218"/>
      <c r="I28" s="206"/>
      <c r="J28" s="218"/>
      <c r="K28" s="11"/>
    </row>
    <row r="29" spans="1:11" s="227" customFormat="1">
      <c r="A29" s="257"/>
      <c r="B29" s="227" t="s">
        <v>34</v>
      </c>
      <c r="C29" s="218"/>
      <c r="D29" s="215">
        <v>331123.19</v>
      </c>
      <c r="E29" s="216"/>
      <c r="F29" s="216"/>
      <c r="G29" s="201"/>
      <c r="H29" s="218"/>
      <c r="I29" s="206"/>
      <c r="J29" s="218"/>
      <c r="K29" s="11"/>
    </row>
    <row r="30" spans="1:11" s="227" customFormat="1">
      <c r="A30" s="257"/>
      <c r="B30" s="227" t="s">
        <v>35</v>
      </c>
      <c r="C30" s="218"/>
      <c r="D30" s="215"/>
      <c r="E30" s="216">
        <v>327125.46999999997</v>
      </c>
      <c r="F30" s="216">
        <v>238000</v>
      </c>
      <c r="G30" s="201"/>
      <c r="H30" s="218"/>
      <c r="I30" s="206"/>
      <c r="J30" s="218"/>
      <c r="K30" s="11"/>
    </row>
    <row r="31" spans="1:11" s="227" customFormat="1">
      <c r="A31" s="257"/>
      <c r="B31" s="227" t="s">
        <v>36</v>
      </c>
      <c r="C31" s="218"/>
      <c r="D31" s="204"/>
      <c r="E31" s="216"/>
      <c r="F31" s="216"/>
      <c r="G31" s="206"/>
      <c r="H31" s="218"/>
      <c r="I31" s="206"/>
      <c r="J31" s="241"/>
      <c r="K31" s="11"/>
    </row>
    <row r="32" spans="1:11" s="214" customFormat="1">
      <c r="C32" s="203"/>
      <c r="D32" s="204"/>
      <c r="E32" s="280"/>
      <c r="F32" s="280"/>
      <c r="G32" s="206"/>
      <c r="H32" s="203"/>
      <c r="I32" s="206"/>
      <c r="J32" s="281"/>
      <c r="K32" s="11"/>
    </row>
    <row r="33" spans="1:11" s="232" customFormat="1">
      <c r="A33" s="206" t="s">
        <v>37</v>
      </c>
      <c r="B33" s="232" t="s">
        <v>81</v>
      </c>
      <c r="C33" s="218">
        <v>40933.339999999997</v>
      </c>
      <c r="D33" s="215">
        <v>129536.67</v>
      </c>
      <c r="E33" s="216">
        <f>630961.1-E30</f>
        <v>303835.63</v>
      </c>
      <c r="F33" s="216">
        <f>789322-F30</f>
        <v>551322</v>
      </c>
      <c r="G33" s="206"/>
      <c r="H33" s="218"/>
      <c r="I33" s="206"/>
      <c r="J33" s="218"/>
      <c r="K33" s="11"/>
    </row>
    <row r="34" spans="1:11" s="232" customFormat="1">
      <c r="A34" s="206"/>
      <c r="B34" s="232" t="s">
        <v>39</v>
      </c>
      <c r="C34" s="218"/>
      <c r="D34" s="215">
        <v>427303.08</v>
      </c>
      <c r="E34" s="216">
        <v>0</v>
      </c>
      <c r="F34" s="216">
        <v>0</v>
      </c>
      <c r="G34" s="206"/>
      <c r="H34" s="218"/>
      <c r="I34" s="206"/>
      <c r="J34" s="218"/>
      <c r="K34" s="11"/>
    </row>
    <row r="35" spans="1:11" s="232" customFormat="1">
      <c r="A35" s="206"/>
      <c r="B35" s="232" t="s">
        <v>40</v>
      </c>
      <c r="C35" s="218"/>
      <c r="D35" s="215"/>
      <c r="E35" s="216">
        <v>336712.86</v>
      </c>
      <c r="F35" s="216">
        <v>4992.78</v>
      </c>
      <c r="G35" s="206"/>
      <c r="H35" s="218"/>
      <c r="I35" s="206"/>
      <c r="J35" s="218"/>
      <c r="K35" s="11"/>
    </row>
    <row r="36" spans="1:11" s="201" customFormat="1">
      <c r="B36" s="232" t="s">
        <v>41</v>
      </c>
      <c r="C36" s="218">
        <v>843</v>
      </c>
      <c r="D36" s="282">
        <v>2535.34</v>
      </c>
      <c r="E36" s="239">
        <v>8225.39</v>
      </c>
      <c r="F36" s="239">
        <v>0</v>
      </c>
      <c r="H36" s="218"/>
      <c r="I36" s="206"/>
      <c r="J36" s="218"/>
      <c r="K36" s="11"/>
    </row>
    <row r="37" spans="1:11" s="232" customFormat="1">
      <c r="A37" s="206"/>
      <c r="B37" s="232" t="s">
        <v>42</v>
      </c>
      <c r="C37" s="218"/>
      <c r="D37" s="215">
        <v>559375.09</v>
      </c>
      <c r="E37" s="216">
        <f>SUM(E33:E36)</f>
        <v>648773.88</v>
      </c>
      <c r="F37" s="216">
        <f>SUM(F33:F36)</f>
        <v>556314.78</v>
      </c>
      <c r="G37" s="206"/>
      <c r="H37" s="218"/>
      <c r="I37" s="206"/>
      <c r="J37" s="241"/>
      <c r="K37" s="11"/>
    </row>
    <row r="38" spans="1:11" s="214" customFormat="1">
      <c r="C38" s="203"/>
      <c r="D38" s="204"/>
      <c r="E38" s="216"/>
      <c r="F38" s="216"/>
      <c r="G38" s="201"/>
      <c r="H38" s="203"/>
      <c r="I38" s="206"/>
      <c r="J38" s="281"/>
      <c r="K38" s="11"/>
    </row>
    <row r="39" spans="1:11" s="201" customFormat="1" ht="13">
      <c r="A39" s="201" t="s">
        <v>18</v>
      </c>
      <c r="B39" s="232" t="s">
        <v>72</v>
      </c>
      <c r="C39" s="218">
        <v>131151.76999999999</v>
      </c>
      <c r="D39" s="204"/>
      <c r="E39" s="216"/>
      <c r="F39" s="216"/>
      <c r="H39" s="283"/>
      <c r="I39" s="206"/>
      <c r="J39" s="218"/>
      <c r="K39" s="11"/>
    </row>
    <row r="40" spans="1:11" s="270" customFormat="1" ht="13" thickBot="1">
      <c r="B40" s="213" t="s">
        <v>82</v>
      </c>
      <c r="C40" s="284"/>
      <c r="D40" s="285"/>
      <c r="E40" s="286">
        <f>E30+E37</f>
        <v>975899.35</v>
      </c>
      <c r="F40" s="286">
        <f>F37+F30</f>
        <v>794314.78</v>
      </c>
      <c r="H40" s="284"/>
      <c r="J40" s="287"/>
      <c r="K40" s="147"/>
    </row>
    <row r="41" spans="1:11" s="201" customFormat="1">
      <c r="B41" s="232"/>
      <c r="C41" s="218"/>
      <c r="D41" s="204"/>
      <c r="E41" s="216"/>
      <c r="F41" s="216"/>
      <c r="G41" s="206"/>
      <c r="H41" s="218"/>
      <c r="I41" s="206"/>
      <c r="J41" s="241"/>
      <c r="K41" s="11"/>
    </row>
    <row r="42" spans="1:11" s="201" customFormat="1">
      <c r="A42" s="328" t="s">
        <v>30</v>
      </c>
      <c r="B42" s="232" t="s">
        <v>83</v>
      </c>
      <c r="C42" s="218"/>
      <c r="D42" s="204"/>
      <c r="E42" s="216">
        <v>1100000</v>
      </c>
      <c r="F42" s="216">
        <v>1100000</v>
      </c>
      <c r="G42" s="206"/>
      <c r="H42" s="218"/>
      <c r="I42" s="206"/>
      <c r="J42" s="241"/>
      <c r="K42" s="11"/>
    </row>
    <row r="43" spans="1:11" s="201" customFormat="1">
      <c r="A43" s="206" t="s">
        <v>37</v>
      </c>
      <c r="B43" s="232" t="s">
        <v>45</v>
      </c>
      <c r="C43" s="218"/>
      <c r="D43" s="204"/>
      <c r="E43" s="216">
        <v>-325000</v>
      </c>
      <c r="F43" s="216">
        <v>0</v>
      </c>
      <c r="G43" s="206"/>
      <c r="H43" s="218"/>
      <c r="I43" s="206"/>
      <c r="J43" s="241"/>
      <c r="K43" s="11"/>
    </row>
    <row r="44" spans="1:11" s="201" customFormat="1" ht="13" thickBot="1">
      <c r="A44" s="270"/>
      <c r="B44" s="213"/>
      <c r="C44" s="284"/>
      <c r="D44" s="285"/>
      <c r="E44" s="286"/>
      <c r="F44" s="286"/>
      <c r="G44" s="270"/>
      <c r="H44" s="284"/>
      <c r="I44" s="270"/>
      <c r="J44" s="287"/>
      <c r="K44" s="147"/>
    </row>
    <row r="45" spans="1:11" s="201" customFormat="1" ht="13" thickBot="1">
      <c r="A45" s="324"/>
      <c r="B45" s="272" t="s">
        <v>90</v>
      </c>
      <c r="C45" s="289"/>
      <c r="D45" s="290"/>
      <c r="E45" s="275">
        <f>E43+E42</f>
        <v>775000</v>
      </c>
      <c r="F45" s="275">
        <f>SUM(F42:F43)</f>
        <v>1100000</v>
      </c>
      <c r="G45" s="324"/>
      <c r="H45" s="289"/>
      <c r="I45" s="324"/>
      <c r="J45" s="291"/>
      <c r="K45" s="162"/>
    </row>
    <row r="46" spans="1:11" s="214" customFormat="1" ht="13" thickBot="1">
      <c r="C46" s="203"/>
      <c r="D46" s="204"/>
      <c r="E46" s="216"/>
      <c r="F46" s="216"/>
      <c r="G46" s="201"/>
      <c r="H46" s="203"/>
      <c r="I46" s="206"/>
      <c r="J46" s="231"/>
      <c r="K46" s="11"/>
    </row>
    <row r="47" spans="1:11" s="272" customFormat="1" ht="13" thickBot="1">
      <c r="B47" s="272" t="s">
        <v>47</v>
      </c>
      <c r="C47" s="273">
        <f>C33+C28+C27+C39+C36</f>
        <v>1092390.3800000001</v>
      </c>
      <c r="D47" s="274">
        <v>2415579.4900000002</v>
      </c>
      <c r="E47" s="275">
        <f>E27+E40+E45</f>
        <v>3808162.17</v>
      </c>
      <c r="F47" s="275">
        <f>F27+F40+F45</f>
        <v>3970628.66</v>
      </c>
      <c r="G47" s="292"/>
      <c r="H47" s="273"/>
      <c r="I47" s="273"/>
      <c r="J47" s="273"/>
      <c r="K47" s="293"/>
    </row>
    <row r="48" spans="1:11" s="272" customFormat="1" ht="13" thickBot="1">
      <c r="C48" s="273"/>
      <c r="D48" s="274"/>
      <c r="E48" s="275"/>
      <c r="F48" s="275"/>
      <c r="H48" s="273"/>
      <c r="J48" s="273"/>
      <c r="K48" s="293"/>
    </row>
    <row r="49" spans="2:11" s="294" customFormat="1" ht="13" thickBot="1">
      <c r="B49" s="272" t="s">
        <v>91</v>
      </c>
      <c r="C49" s="273">
        <v>445045</v>
      </c>
      <c r="D49" s="295">
        <v>497147.68</v>
      </c>
      <c r="E49" s="275">
        <v>521301.78</v>
      </c>
      <c r="F49" s="275">
        <v>438405.63</v>
      </c>
      <c r="G49" s="272"/>
      <c r="H49" s="273"/>
      <c r="I49" s="272"/>
      <c r="J49" s="273"/>
      <c r="K49" s="329"/>
    </row>
    <row r="50" spans="2:11" s="296" customFormat="1">
      <c r="D50" s="297"/>
      <c r="E50" s="298"/>
      <c r="F50" s="298"/>
      <c r="I50" s="299"/>
      <c r="J50" s="246"/>
      <c r="K50" s="179"/>
    </row>
  </sheetData>
  <pageMargins left="0.2" right="0.2" top="0.25" bottom="0.25" header="0.05" footer="0.05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BA8C-893F-B047-8A87-1B04FFC6755E}">
  <dimension ref="A1:U51"/>
  <sheetViews>
    <sheetView tabSelected="1" topLeftCell="A10" workbookViewId="0">
      <selection activeCell="F51" sqref="F51"/>
    </sheetView>
  </sheetViews>
  <sheetFormatPr baseColWidth="10" defaultRowHeight="12"/>
  <cols>
    <col min="1" max="1" width="3" style="243" customWidth="1"/>
    <col min="2" max="2" width="22.83203125" style="243" customWidth="1"/>
    <col min="3" max="5" width="12" style="243" bestFit="1" customWidth="1"/>
    <col min="6" max="6" width="12.83203125" style="243" customWidth="1"/>
    <col min="7" max="7" width="11.33203125" style="243" customWidth="1"/>
    <col min="8" max="8" width="10.6640625" style="243" bestFit="1" customWidth="1"/>
    <col min="9" max="9" width="11" style="243" customWidth="1"/>
    <col min="10" max="10" width="10.83203125" style="243"/>
    <col min="11" max="11" width="5.5" style="243" bestFit="1" customWidth="1"/>
    <col min="12" max="16384" width="10.83203125" style="243"/>
  </cols>
  <sheetData>
    <row r="1" spans="1:21" s="201" customFormat="1" ht="13" thickBot="1">
      <c r="B1" s="202"/>
      <c r="C1" s="203"/>
      <c r="D1" s="204"/>
      <c r="E1" s="205" t="s">
        <v>1</v>
      </c>
      <c r="F1" s="205" t="s">
        <v>2</v>
      </c>
      <c r="H1" s="203"/>
      <c r="I1" s="206"/>
      <c r="J1" s="183" t="s">
        <v>2</v>
      </c>
      <c r="K1" s="338" t="s">
        <v>2</v>
      </c>
    </row>
    <row r="2" spans="1:21" s="213" customFormat="1" ht="18" customHeight="1" thickTop="1" thickBot="1">
      <c r="A2" s="326" t="s">
        <v>52</v>
      </c>
      <c r="B2" s="208"/>
      <c r="C2" s="209">
        <v>38898</v>
      </c>
      <c r="D2" s="210">
        <v>42185</v>
      </c>
      <c r="E2" s="211">
        <v>43646</v>
      </c>
      <c r="F2" s="211">
        <v>43951</v>
      </c>
      <c r="G2" s="27" t="s">
        <v>4</v>
      </c>
      <c r="H2" s="26" t="s">
        <v>75</v>
      </c>
      <c r="I2" s="27" t="s">
        <v>84</v>
      </c>
      <c r="J2" s="212" t="s">
        <v>85</v>
      </c>
      <c r="K2" s="339" t="s">
        <v>79</v>
      </c>
      <c r="L2" s="232"/>
    </row>
    <row r="3" spans="1:21" s="214" customFormat="1" ht="13" thickTop="1">
      <c r="B3" s="214" t="s">
        <v>10</v>
      </c>
      <c r="C3" s="203">
        <v>107880.5</v>
      </c>
      <c r="D3" s="215">
        <v>68736.680000000008</v>
      </c>
      <c r="E3" s="216">
        <v>0</v>
      </c>
      <c r="F3" s="216"/>
      <c r="G3" s="206"/>
      <c r="H3" s="203"/>
      <c r="I3" s="217"/>
      <c r="J3" s="218">
        <f>G3-H3+I3</f>
        <v>0</v>
      </c>
      <c r="K3" s="233"/>
    </row>
    <row r="4" spans="1:21" s="220" customFormat="1">
      <c r="B4" s="220" t="s">
        <v>11</v>
      </c>
      <c r="C4" s="221"/>
      <c r="D4" s="215">
        <v>85630.99</v>
      </c>
      <c r="E4" s="216">
        <v>141779.75</v>
      </c>
      <c r="F4" s="216">
        <f>'Apr 30 2020'!H4</f>
        <v>130857.63</v>
      </c>
      <c r="G4" s="222">
        <f t="shared" ref="G4:G23" si="0">F4-E4</f>
        <v>-10922.119999999995</v>
      </c>
      <c r="H4" s="223"/>
      <c r="I4" s="224">
        <f>1747+1757+1774</f>
        <v>5278</v>
      </c>
      <c r="J4" s="225">
        <f>G4-H4+I4</f>
        <v>-5644.1199999999953</v>
      </c>
      <c r="K4" s="226">
        <f>J4/E4</f>
        <v>-3.9809070054080326E-2</v>
      </c>
      <c r="L4" s="201"/>
      <c r="M4" s="201"/>
    </row>
    <row r="5" spans="1:21" s="227" customFormat="1">
      <c r="A5" s="227" t="s">
        <v>12</v>
      </c>
      <c r="B5" s="227" t="s">
        <v>13</v>
      </c>
      <c r="C5" s="228"/>
      <c r="D5" s="229">
        <v>154367.67000000001</v>
      </c>
      <c r="E5" s="230">
        <f>SUM(E3:E4)</f>
        <v>141779.75</v>
      </c>
      <c r="F5" s="230">
        <f>SUM(F3:F4)</f>
        <v>130857.63</v>
      </c>
      <c r="G5" s="206">
        <f t="shared" si="0"/>
        <v>-10922.119999999995</v>
      </c>
      <c r="H5" s="231">
        <f t="shared" ref="H5:J5" si="1">SUM(H3:H4)</f>
        <v>0</v>
      </c>
      <c r="I5" s="232">
        <f t="shared" si="1"/>
        <v>5278</v>
      </c>
      <c r="J5" s="231">
        <f t="shared" si="1"/>
        <v>-5644.1199999999953</v>
      </c>
      <c r="K5" s="233">
        <f t="shared" ref="K5:K26" si="2">J5/E5</f>
        <v>-3.9809070054080326E-2</v>
      </c>
      <c r="L5" s="232"/>
      <c r="M5" s="232"/>
    </row>
    <row r="6" spans="1:21" s="214" customFormat="1">
      <c r="B6" s="236" t="s">
        <v>14</v>
      </c>
      <c r="C6" s="236">
        <v>243337.69</v>
      </c>
      <c r="D6" s="215">
        <v>128325.54</v>
      </c>
      <c r="E6" s="237">
        <v>0</v>
      </c>
      <c r="F6" s="237"/>
      <c r="G6" s="206">
        <f t="shared" si="0"/>
        <v>0</v>
      </c>
      <c r="H6" s="203">
        <v>0</v>
      </c>
      <c r="I6" s="217"/>
      <c r="J6" s="218">
        <f>G6-H6+I6</f>
        <v>0</v>
      </c>
      <c r="K6" s="233"/>
      <c r="L6" s="201"/>
      <c r="M6" s="201"/>
    </row>
    <row r="7" spans="1:21" s="220" customFormat="1">
      <c r="B7" s="220" t="s">
        <v>15</v>
      </c>
      <c r="C7" s="238"/>
      <c r="D7" s="215">
        <v>158702.09</v>
      </c>
      <c r="E7" s="216">
        <v>252755.25</v>
      </c>
      <c r="F7" s="239">
        <f>'Apr 30 2020'!H8</f>
        <v>231563.59</v>
      </c>
      <c r="G7" s="222">
        <f t="shared" si="0"/>
        <v>-21191.660000000003</v>
      </c>
      <c r="H7" s="223"/>
      <c r="I7" s="224">
        <f>3778+3791+3814</f>
        <v>11383</v>
      </c>
      <c r="J7" s="225">
        <f>G7-H7+I7</f>
        <v>-9808.6600000000035</v>
      </c>
      <c r="K7" s="226">
        <f t="shared" si="2"/>
        <v>-3.8806948619267069E-2</v>
      </c>
      <c r="L7" s="201"/>
      <c r="M7" s="201"/>
    </row>
    <row r="8" spans="1:21" s="227" customFormat="1">
      <c r="A8" s="227" t="s">
        <v>16</v>
      </c>
      <c r="B8" s="227" t="s">
        <v>17</v>
      </c>
      <c r="C8" s="231"/>
      <c r="D8" s="229">
        <v>287027.63</v>
      </c>
      <c r="E8" s="230">
        <f>SUM(E6:E7)</f>
        <v>252755.25</v>
      </c>
      <c r="F8" s="240">
        <f>SUM(F6:F7)</f>
        <v>231563.59</v>
      </c>
      <c r="G8" s="206">
        <f t="shared" si="0"/>
        <v>-21191.660000000003</v>
      </c>
      <c r="H8" s="231">
        <f>SUM(H6:H7)</f>
        <v>0</v>
      </c>
      <c r="I8" s="232">
        <f t="shared" ref="I8:J8" si="3">SUM(I6:I7)</f>
        <v>11383</v>
      </c>
      <c r="J8" s="231">
        <f t="shared" si="3"/>
        <v>-9808.6600000000035</v>
      </c>
      <c r="K8" s="233">
        <f t="shared" si="2"/>
        <v>-3.8806948619267069E-2</v>
      </c>
    </row>
    <row r="9" spans="1:21" s="227" customFormat="1">
      <c r="A9" s="227" t="s">
        <v>18</v>
      </c>
      <c r="B9" s="227" t="s">
        <v>87</v>
      </c>
      <c r="C9" s="231">
        <v>34391.75</v>
      </c>
      <c r="D9" s="215">
        <v>81631.039999999994</v>
      </c>
      <c r="E9" s="216">
        <v>85839.66</v>
      </c>
      <c r="F9" s="216">
        <f>'Apr 30 2020'!H11</f>
        <v>80963.259999999995</v>
      </c>
      <c r="G9" s="206">
        <f t="shared" si="0"/>
        <v>-4876.4000000000087</v>
      </c>
      <c r="H9" s="218">
        <v>2000</v>
      </c>
      <c r="I9" s="232">
        <f>1058+1063+1076</f>
        <v>3197</v>
      </c>
      <c r="J9" s="231">
        <f t="shared" ref="J9:J15" si="4">G9-H9+I9</f>
        <v>-3679.4000000000087</v>
      </c>
      <c r="K9" s="233">
        <f t="shared" si="2"/>
        <v>-4.2863636691944124E-2</v>
      </c>
    </row>
    <row r="10" spans="1:21" s="227" customFormat="1">
      <c r="A10" s="227" t="s">
        <v>20</v>
      </c>
      <c r="B10" s="227" t="s">
        <v>63</v>
      </c>
      <c r="C10" s="231"/>
      <c r="D10" s="215">
        <v>120636.46</v>
      </c>
      <c r="E10" s="216">
        <v>150250.49</v>
      </c>
      <c r="F10" s="216">
        <f>'Apr 30 2020'!H13</f>
        <v>140005.66</v>
      </c>
      <c r="G10" s="206">
        <f t="shared" si="0"/>
        <v>-10244.829999999987</v>
      </c>
      <c r="H10" s="218">
        <f>200+1000</f>
        <v>1200</v>
      </c>
      <c r="I10" s="232">
        <f>1817+1830+1857</f>
        <v>5504</v>
      </c>
      <c r="J10" s="231">
        <f t="shared" si="4"/>
        <v>-5940.8299999999872</v>
      </c>
      <c r="K10" s="233">
        <f t="shared" si="2"/>
        <v>-3.9539504995957001E-2</v>
      </c>
    </row>
    <row r="11" spans="1:21" s="227" customFormat="1">
      <c r="A11" s="227" t="s">
        <v>22</v>
      </c>
      <c r="B11" s="227" t="s">
        <v>62</v>
      </c>
      <c r="C11" s="231"/>
      <c r="D11" s="215">
        <v>51112.78</v>
      </c>
      <c r="E11" s="216">
        <v>118927.03</v>
      </c>
      <c r="F11" s="216">
        <f>'Apr 30 2020'!H15</f>
        <v>111176.67</v>
      </c>
      <c r="G11" s="206">
        <f t="shared" si="0"/>
        <v>-7750.3600000000006</v>
      </c>
      <c r="H11" s="218">
        <f>350+500</f>
        <v>850</v>
      </c>
      <c r="I11" s="232">
        <f>1230+1272+1356</f>
        <v>3858</v>
      </c>
      <c r="J11" s="231">
        <f t="shared" si="4"/>
        <v>-4742.3600000000006</v>
      </c>
      <c r="K11" s="233">
        <f t="shared" si="2"/>
        <v>-3.9876216533785473E-2</v>
      </c>
    </row>
    <row r="12" spans="1:21" s="227" customFormat="1">
      <c r="A12" s="227" t="s">
        <v>24</v>
      </c>
      <c r="B12" s="227" t="s">
        <v>86</v>
      </c>
      <c r="C12" s="231"/>
      <c r="D12" s="215">
        <v>56403.78</v>
      </c>
      <c r="E12" s="216">
        <v>168629.77</v>
      </c>
      <c r="F12" s="216">
        <f>'Apr 30 2020'!H17</f>
        <v>160778.85</v>
      </c>
      <c r="G12" s="206">
        <f t="shared" si="0"/>
        <v>-7850.9199999999837</v>
      </c>
      <c r="H12" s="218">
        <v>5000</v>
      </c>
      <c r="I12" s="232">
        <f>1834+1918+1994</f>
        <v>5746</v>
      </c>
      <c r="J12" s="231">
        <f t="shared" si="4"/>
        <v>-7104.9199999999837</v>
      </c>
      <c r="K12" s="233">
        <f t="shared" si="2"/>
        <v>-4.2133248476825792E-2</v>
      </c>
    </row>
    <row r="13" spans="1:21" s="227" customFormat="1">
      <c r="A13" s="227" t="s">
        <v>26</v>
      </c>
      <c r="B13" s="227" t="s">
        <v>80</v>
      </c>
      <c r="C13" s="231"/>
      <c r="D13" s="215"/>
      <c r="E13" s="216">
        <v>62612.83</v>
      </c>
      <c r="F13" s="216">
        <f>'Apr 30 2020'!H19</f>
        <v>57901.57</v>
      </c>
      <c r="G13" s="206">
        <f t="shared" si="0"/>
        <v>-4711.260000000002</v>
      </c>
      <c r="H13" s="231"/>
      <c r="I13" s="232">
        <f>732+740+757</f>
        <v>2229</v>
      </c>
      <c r="J13" s="231">
        <f t="shared" si="4"/>
        <v>-2482.260000000002</v>
      </c>
      <c r="K13" s="233">
        <f t="shared" si="2"/>
        <v>-3.9644590413817772E-2</v>
      </c>
    </row>
    <row r="14" spans="1:21" s="227" customFormat="1">
      <c r="A14" s="227" t="s">
        <v>27</v>
      </c>
      <c r="B14" s="227" t="s">
        <v>28</v>
      </c>
      <c r="C14" s="231"/>
      <c r="D14" s="215"/>
      <c r="E14" s="216">
        <v>101237.75</v>
      </c>
      <c r="F14" s="216">
        <f>'Apr 30 2020'!H21</f>
        <v>279074.62</v>
      </c>
      <c r="G14" s="206">
        <f t="shared" si="0"/>
        <v>177836.87</v>
      </c>
      <c r="H14" s="218">
        <f>209356.19</f>
        <v>209356.19</v>
      </c>
      <c r="I14" s="232">
        <f>1261+1261+1935</f>
        <v>4457</v>
      </c>
      <c r="J14" s="231">
        <f t="shared" si="4"/>
        <v>-27062.320000000007</v>
      </c>
      <c r="K14" s="244">
        <f>J14/(E14+H14)</f>
        <v>-8.7130869327328178E-2</v>
      </c>
    </row>
    <row r="15" spans="1:21" s="227" customFormat="1">
      <c r="A15" s="227" t="s">
        <v>58</v>
      </c>
      <c r="B15" s="245" t="s">
        <v>59</v>
      </c>
      <c r="C15" s="245"/>
      <c r="D15" s="231"/>
      <c r="E15" s="216">
        <v>0</v>
      </c>
      <c r="F15" s="216">
        <f>'Apr 30 2020'!H23</f>
        <v>57853.39</v>
      </c>
      <c r="G15" s="206">
        <f>F15-0</f>
        <v>57853.39</v>
      </c>
      <c r="H15" s="218">
        <f>44685+315+5000+10000+250+100+700+1350</f>
        <v>62400</v>
      </c>
      <c r="I15" s="232">
        <f>0+0+806</f>
        <v>806</v>
      </c>
      <c r="J15" s="231">
        <f t="shared" si="4"/>
        <v>-3740.6100000000006</v>
      </c>
      <c r="K15" s="233">
        <f>J15/H15</f>
        <v>-5.9945673076923084E-2</v>
      </c>
      <c r="L15" s="246"/>
      <c r="M15" s="246"/>
      <c r="N15" s="246"/>
      <c r="O15" s="206"/>
      <c r="P15" s="232"/>
      <c r="Q15" s="232"/>
      <c r="R15" s="232"/>
      <c r="S15" s="247"/>
      <c r="T15" s="248"/>
      <c r="U15" s="232"/>
    </row>
    <row r="16" spans="1:21" s="249" customFormat="1" ht="13" thickBot="1">
      <c r="B16" s="249" t="s">
        <v>29</v>
      </c>
      <c r="C16" s="250">
        <f>SUM(C3:C15)</f>
        <v>385609.94</v>
      </c>
      <c r="D16" s="251">
        <v>751179.36</v>
      </c>
      <c r="E16" s="252">
        <f>E14+E13+E12+E11+E10+E9+E8+E5</f>
        <v>1082032.53</v>
      </c>
      <c r="F16" s="252">
        <f>F5+F8+F9+F10+F11+F12+F13+F14+F15</f>
        <v>1250175.24</v>
      </c>
      <c r="G16" s="253">
        <f>F16-E16</f>
        <v>168142.70999999996</v>
      </c>
      <c r="H16" s="254">
        <f>H5+H8+H9+H10+H11+H12+H13+H14+H15</f>
        <v>280806.19</v>
      </c>
      <c r="I16" s="254">
        <f>I5+I8+I9+I10+I11+I12+I13+I14</f>
        <v>41652</v>
      </c>
      <c r="J16" s="250">
        <f>J5+J8+J9+J10+J11+J12+J13+J14+J15</f>
        <v>-70205.48</v>
      </c>
      <c r="K16" s="255">
        <f>J16/E16</f>
        <v>-6.4882966134114275E-2</v>
      </c>
      <c r="L16" s="232"/>
    </row>
    <row r="17" spans="1:12" s="232" customFormat="1" ht="14" thickTop="1" thickBot="1">
      <c r="A17" s="326" t="s">
        <v>53</v>
      </c>
      <c r="B17" s="208"/>
      <c r="C17" s="231"/>
      <c r="D17" s="234"/>
      <c r="E17" s="256"/>
      <c r="F17" s="256"/>
      <c r="G17" s="206"/>
      <c r="H17" s="231"/>
      <c r="J17" s="231"/>
      <c r="K17" s="332"/>
    </row>
    <row r="18" spans="1:12" s="214" customFormat="1" ht="13" thickTop="1">
      <c r="C18" s="203"/>
      <c r="D18" s="234"/>
      <c r="E18" s="256"/>
      <c r="F18" s="256"/>
      <c r="G18" s="206"/>
      <c r="H18" s="203"/>
      <c r="I18" s="206"/>
      <c r="J18" s="231"/>
      <c r="K18" s="233"/>
    </row>
    <row r="19" spans="1:12" s="214" customFormat="1">
      <c r="A19" s="214" t="s">
        <v>30</v>
      </c>
      <c r="B19" s="257" t="s">
        <v>74</v>
      </c>
      <c r="C19" s="203">
        <v>210866.85</v>
      </c>
      <c r="D19" s="215">
        <v>454092.35</v>
      </c>
      <c r="E19" s="216">
        <v>851524.87</v>
      </c>
      <c r="F19" s="216">
        <f>'Apr 30 2020'!H28</f>
        <v>799165.37</v>
      </c>
      <c r="G19" s="218">
        <f t="shared" si="0"/>
        <v>-52359.5</v>
      </c>
      <c r="H19" s="206"/>
      <c r="I19" s="203">
        <f>6820.94+6918.23+7046.32+7038.47</f>
        <v>27823.96</v>
      </c>
      <c r="J19" s="231">
        <f>G19-H19+I19</f>
        <v>-24535.54</v>
      </c>
      <c r="K19" s="233">
        <f t="shared" si="2"/>
        <v>-2.8813650504418035E-2</v>
      </c>
    </row>
    <row r="20" spans="1:12" s="214" customFormat="1">
      <c r="B20" s="258" t="s">
        <v>31</v>
      </c>
      <c r="C20" s="236">
        <v>118222.79</v>
      </c>
      <c r="D20" s="215">
        <v>221036.22</v>
      </c>
      <c r="E20" s="216">
        <v>0</v>
      </c>
      <c r="F20" s="216"/>
      <c r="G20" s="225">
        <f t="shared" si="0"/>
        <v>0</v>
      </c>
      <c r="H20" s="217"/>
      <c r="I20" s="218"/>
      <c r="J20" s="231">
        <f>G20-H20+I20</f>
        <v>0</v>
      </c>
      <c r="K20" s="226"/>
      <c r="L20" s="201"/>
    </row>
    <row r="21" spans="1:12" s="260" customFormat="1" ht="13" thickBot="1">
      <c r="B21" s="232" t="s">
        <v>69</v>
      </c>
      <c r="C21" s="261">
        <f>SUM(C19:C20)</f>
        <v>329089.64</v>
      </c>
      <c r="D21" s="229">
        <v>675128.56999999983</v>
      </c>
      <c r="E21" s="230">
        <f>SUM(E19:E20)</f>
        <v>851524.87</v>
      </c>
      <c r="F21" s="230">
        <f>F19</f>
        <v>799165.37</v>
      </c>
      <c r="G21" s="218">
        <f t="shared" si="0"/>
        <v>-52359.5</v>
      </c>
      <c r="H21" s="260">
        <f t="shared" ref="H21:I21" si="5">SUM(H19:H20)</f>
        <v>0</v>
      </c>
      <c r="I21" s="262">
        <f t="shared" si="5"/>
        <v>27823.96</v>
      </c>
      <c r="J21" s="261">
        <f>SUM(J19:J20)</f>
        <v>-24535.54</v>
      </c>
      <c r="K21" s="263">
        <f t="shared" si="2"/>
        <v>-2.8813650504418035E-2</v>
      </c>
      <c r="L21" s="232"/>
    </row>
    <row r="22" spans="1:12" s="214" customFormat="1">
      <c r="C22" s="327"/>
      <c r="D22" s="234"/>
      <c r="E22" s="256"/>
      <c r="F22" s="256"/>
      <c r="G22" s="206">
        <f t="shared" si="0"/>
        <v>0</v>
      </c>
      <c r="H22" s="241"/>
      <c r="I22" s="206"/>
      <c r="J22" s="231"/>
      <c r="K22" s="233"/>
    </row>
    <row r="23" spans="1:12" s="227" customFormat="1">
      <c r="A23" s="227" t="s">
        <v>37</v>
      </c>
      <c r="B23" s="227" t="s">
        <v>89</v>
      </c>
      <c r="C23" s="231">
        <v>86851.8</v>
      </c>
      <c r="D23" s="215">
        <v>98773.28</v>
      </c>
      <c r="E23" s="216">
        <v>123705.42</v>
      </c>
      <c r="F23" s="216">
        <f>'Apr 30 2020'!H33</f>
        <v>118888.47</v>
      </c>
      <c r="G23" s="206">
        <f t="shared" si="0"/>
        <v>-4816.9499999999971</v>
      </c>
      <c r="H23" s="218"/>
      <c r="I23" s="206"/>
      <c r="J23" s="231">
        <f>G23-H23+I23</f>
        <v>-4816.9499999999971</v>
      </c>
      <c r="K23" s="233">
        <f t="shared" si="2"/>
        <v>-3.8938875919907127E-2</v>
      </c>
    </row>
    <row r="24" spans="1:12" s="227" customFormat="1">
      <c r="A24" s="227" t="s">
        <v>18</v>
      </c>
      <c r="B24" s="227" t="s">
        <v>88</v>
      </c>
      <c r="C24" s="231"/>
      <c r="D24" s="215"/>
      <c r="E24" s="216"/>
      <c r="F24" s="216">
        <f>'Apr 30 2020'!H34</f>
        <v>103995.92</v>
      </c>
      <c r="G24" s="206"/>
      <c r="H24" s="218">
        <v>100000</v>
      </c>
      <c r="I24" s="206">
        <v>0</v>
      </c>
      <c r="J24" s="231">
        <f>F24-H24</f>
        <v>3995.9199999999983</v>
      </c>
      <c r="K24" s="233">
        <f>J24/H24</f>
        <v>3.9959199999999979E-2</v>
      </c>
    </row>
    <row r="25" spans="1:12" s="232" customFormat="1" ht="13" thickBot="1">
      <c r="C25" s="231"/>
      <c r="D25" s="234"/>
      <c r="E25" s="235"/>
      <c r="F25" s="235"/>
      <c r="H25" s="231"/>
      <c r="J25" s="231"/>
      <c r="K25" s="255"/>
    </row>
    <row r="26" spans="1:12" s="272" customFormat="1" ht="13" thickBot="1">
      <c r="B26" s="272" t="s">
        <v>32</v>
      </c>
      <c r="C26" s="273">
        <f>C16+C21+C23</f>
        <v>801551.38000000012</v>
      </c>
      <c r="D26" s="274">
        <v>1525081.21</v>
      </c>
      <c r="E26" s="275">
        <f>E16+E21+E23</f>
        <v>2057262.8199999998</v>
      </c>
      <c r="F26" s="275">
        <f>F16+F21+F23+F24</f>
        <v>2272225</v>
      </c>
      <c r="G26" s="276">
        <f>G16+G21+G23</f>
        <v>110966.25999999997</v>
      </c>
      <c r="H26" s="277">
        <f>H16+H21+H23</f>
        <v>280806.19</v>
      </c>
      <c r="I26" s="277">
        <f>I16+I21+I23</f>
        <v>69475.959999999992</v>
      </c>
      <c r="J26" s="277">
        <f>J16+J21+J23</f>
        <v>-99557.969999999987</v>
      </c>
      <c r="K26" s="278">
        <f t="shared" si="2"/>
        <v>-4.8393413341325048E-2</v>
      </c>
      <c r="L26" s="232"/>
    </row>
    <row r="27" spans="1:12" s="227" customFormat="1">
      <c r="A27" s="257" t="s">
        <v>30</v>
      </c>
      <c r="B27" s="227" t="s">
        <v>70</v>
      </c>
      <c r="C27" s="218">
        <v>117910.89</v>
      </c>
      <c r="D27" s="204"/>
      <c r="E27" s="280"/>
      <c r="F27" s="280"/>
      <c r="G27" s="201"/>
      <c r="H27" s="218"/>
      <c r="I27" s="206"/>
      <c r="J27" s="218"/>
      <c r="K27" s="333"/>
    </row>
    <row r="28" spans="1:12" s="227" customFormat="1">
      <c r="A28" s="257"/>
      <c r="B28" s="227" t="s">
        <v>34</v>
      </c>
      <c r="C28" s="218"/>
      <c r="D28" s="215">
        <v>331123.19</v>
      </c>
      <c r="E28" s="216"/>
      <c r="F28" s="216"/>
      <c r="G28" s="201"/>
      <c r="H28" s="218"/>
      <c r="I28" s="206"/>
      <c r="J28" s="218"/>
      <c r="K28" s="334"/>
    </row>
    <row r="29" spans="1:12" s="227" customFormat="1">
      <c r="A29" s="257"/>
      <c r="B29" s="227" t="s">
        <v>35</v>
      </c>
      <c r="C29" s="218"/>
      <c r="D29" s="215"/>
      <c r="E29" s="216">
        <v>327125.46999999997</v>
      </c>
      <c r="F29" s="216">
        <v>238000</v>
      </c>
      <c r="G29" s="201"/>
      <c r="H29" s="218"/>
      <c r="I29" s="206"/>
      <c r="J29" s="218"/>
      <c r="K29" s="334"/>
    </row>
    <row r="30" spans="1:12" s="227" customFormat="1" ht="13" thickBot="1">
      <c r="A30" s="257"/>
      <c r="B30" s="227" t="s">
        <v>96</v>
      </c>
      <c r="C30" s="218"/>
      <c r="D30" s="204"/>
      <c r="E30" s="216"/>
      <c r="F30" s="286">
        <f>'Apr 30 2020'!H41</f>
        <v>35637.61</v>
      </c>
      <c r="G30" s="206"/>
      <c r="H30" s="218"/>
      <c r="I30" s="206"/>
      <c r="J30" s="241"/>
      <c r="K30" s="334"/>
    </row>
    <row r="31" spans="1:12" s="227" customFormat="1">
      <c r="A31" s="257"/>
      <c r="C31" s="218"/>
      <c r="D31" s="204"/>
      <c r="E31" s="216"/>
      <c r="F31" s="216">
        <f>SUM(F29:F30)</f>
        <v>273637.61</v>
      </c>
      <c r="G31" s="206"/>
      <c r="H31" s="218"/>
      <c r="I31" s="206"/>
      <c r="J31" s="241"/>
      <c r="K31" s="334"/>
    </row>
    <row r="32" spans="1:12" s="214" customFormat="1">
      <c r="C32" s="203"/>
      <c r="D32" s="204"/>
      <c r="E32" s="280"/>
      <c r="F32" s="280"/>
      <c r="G32" s="206"/>
      <c r="H32" s="203"/>
      <c r="I32" s="206"/>
      <c r="J32" s="281"/>
      <c r="K32" s="334"/>
    </row>
    <row r="33" spans="1:12" s="232" customFormat="1">
      <c r="A33" s="206" t="s">
        <v>37</v>
      </c>
      <c r="B33" s="232" t="s">
        <v>81</v>
      </c>
      <c r="C33" s="218">
        <v>40933.339999999997</v>
      </c>
      <c r="D33" s="215">
        <v>129536.67</v>
      </c>
      <c r="E33" s="216">
        <f>630961.1-E29</f>
        <v>303835.63</v>
      </c>
      <c r="F33" s="216">
        <f>789322-F29</f>
        <v>551322</v>
      </c>
      <c r="G33" s="206"/>
      <c r="H33" s="218"/>
      <c r="I33" s="206"/>
      <c r="J33" s="218"/>
      <c r="K33" s="334"/>
    </row>
    <row r="34" spans="1:12" s="232" customFormat="1">
      <c r="A34" s="206"/>
      <c r="B34" s="232" t="s">
        <v>39</v>
      </c>
      <c r="C34" s="218"/>
      <c r="D34" s="215">
        <v>427303.08</v>
      </c>
      <c r="E34" s="216">
        <v>0</v>
      </c>
      <c r="F34" s="216">
        <v>0</v>
      </c>
      <c r="G34" s="206"/>
      <c r="H34" s="218"/>
      <c r="I34" s="206"/>
      <c r="J34" s="218"/>
      <c r="K34" s="334"/>
    </row>
    <row r="35" spans="1:12" s="232" customFormat="1">
      <c r="A35" s="206"/>
      <c r="B35" s="232" t="s">
        <v>40</v>
      </c>
      <c r="C35" s="218"/>
      <c r="D35" s="215"/>
      <c r="E35" s="216">
        <v>336712.86</v>
      </c>
      <c r="F35" s="216">
        <f>'Apr 30 2020'!H47</f>
        <v>253931.22</v>
      </c>
      <c r="G35" s="206"/>
      <c r="H35" s="218"/>
      <c r="I35" s="206"/>
      <c r="J35" s="218"/>
      <c r="K35" s="334"/>
    </row>
    <row r="36" spans="1:12" s="201" customFormat="1" ht="13" thickBot="1">
      <c r="B36" s="232" t="s">
        <v>41</v>
      </c>
      <c r="C36" s="218">
        <v>843</v>
      </c>
      <c r="D36" s="330">
        <v>2535.34</v>
      </c>
      <c r="E36" s="286">
        <v>8225.39</v>
      </c>
      <c r="F36" s="286">
        <v>0</v>
      </c>
      <c r="H36" s="218"/>
      <c r="I36" s="206"/>
      <c r="J36" s="218"/>
      <c r="K36" s="334"/>
    </row>
    <row r="37" spans="1:12" s="232" customFormat="1">
      <c r="A37" s="206"/>
      <c r="B37" s="232" t="s">
        <v>42</v>
      </c>
      <c r="C37" s="218"/>
      <c r="D37" s="215">
        <v>559375.09</v>
      </c>
      <c r="E37" s="216">
        <f>SUM(E33:E36)</f>
        <v>648773.88</v>
      </c>
      <c r="F37" s="216">
        <f>SUM(F33:F36)</f>
        <v>805253.22</v>
      </c>
      <c r="G37" s="206"/>
      <c r="H37" s="218"/>
      <c r="I37" s="206"/>
      <c r="J37" s="241"/>
      <c r="K37" s="334"/>
    </row>
    <row r="38" spans="1:12" s="214" customFormat="1">
      <c r="C38" s="203"/>
      <c r="D38" s="204"/>
      <c r="E38" s="216"/>
      <c r="F38" s="216"/>
      <c r="G38" s="201"/>
      <c r="H38" s="203"/>
      <c r="I38" s="206"/>
      <c r="J38" s="281"/>
      <c r="K38" s="334"/>
    </row>
    <row r="39" spans="1:12" s="214" customFormat="1">
      <c r="A39" s="214" t="s">
        <v>18</v>
      </c>
      <c r="B39" s="331" t="s">
        <v>94</v>
      </c>
      <c r="C39" s="203"/>
      <c r="D39" s="204"/>
      <c r="E39" s="216"/>
      <c r="F39" s="216">
        <f>'Apr 30 2020'!H51</f>
        <v>-118700</v>
      </c>
      <c r="G39" s="201"/>
      <c r="H39" s="203"/>
      <c r="I39" s="206"/>
      <c r="J39" s="281"/>
      <c r="K39" s="334"/>
    </row>
    <row r="40" spans="1:12" s="201" customFormat="1" ht="13">
      <c r="A40" s="201" t="s">
        <v>95</v>
      </c>
      <c r="B40" s="232" t="s">
        <v>72</v>
      </c>
      <c r="C40" s="218">
        <v>131151.76999999999</v>
      </c>
      <c r="D40" s="204"/>
      <c r="E40" s="216"/>
      <c r="F40" s="216"/>
      <c r="H40" s="283"/>
      <c r="I40" s="206"/>
      <c r="J40" s="218"/>
      <c r="K40" s="334"/>
    </row>
    <row r="41" spans="1:12" s="270" customFormat="1" ht="13" thickBot="1">
      <c r="B41" s="213" t="s">
        <v>82</v>
      </c>
      <c r="C41" s="284"/>
      <c r="D41" s="285"/>
      <c r="E41" s="286">
        <f>E29+E37</f>
        <v>975899.35</v>
      </c>
      <c r="F41" s="286">
        <f>F37+F31+F39</f>
        <v>960190.83000000007</v>
      </c>
      <c r="H41" s="284"/>
      <c r="J41" s="287"/>
      <c r="K41" s="335"/>
      <c r="L41" s="206"/>
    </row>
    <row r="42" spans="1:12" s="201" customFormat="1">
      <c r="B42" s="232"/>
      <c r="C42" s="218"/>
      <c r="D42" s="204"/>
      <c r="E42" s="216"/>
      <c r="F42" s="216"/>
      <c r="G42" s="206"/>
      <c r="H42" s="218"/>
      <c r="I42" s="206"/>
      <c r="J42" s="241"/>
      <c r="K42" s="334"/>
    </row>
    <row r="43" spans="1:12" s="201" customFormat="1">
      <c r="A43" s="328" t="s">
        <v>30</v>
      </c>
      <c r="B43" s="232" t="s">
        <v>83</v>
      </c>
      <c r="C43" s="218"/>
      <c r="D43" s="204"/>
      <c r="E43" s="216">
        <v>1100000</v>
      </c>
      <c r="F43" s="216">
        <v>1100000</v>
      </c>
      <c r="G43" s="206"/>
      <c r="H43" s="218"/>
      <c r="I43" s="206"/>
      <c r="J43" s="241"/>
      <c r="K43" s="334"/>
    </row>
    <row r="44" spans="1:12" s="201" customFormat="1">
      <c r="A44" s="206" t="s">
        <v>37</v>
      </c>
      <c r="B44" s="232" t="s">
        <v>45</v>
      </c>
      <c r="C44" s="218"/>
      <c r="D44" s="204"/>
      <c r="E44" s="216">
        <v>-325000</v>
      </c>
      <c r="F44" s="216">
        <v>0</v>
      </c>
      <c r="G44" s="206"/>
      <c r="H44" s="218"/>
      <c r="I44" s="206"/>
      <c r="J44" s="241"/>
      <c r="K44" s="334"/>
    </row>
    <row r="45" spans="1:12" s="201" customFormat="1" ht="13" thickBot="1">
      <c r="A45" s="270"/>
      <c r="B45" s="213"/>
      <c r="C45" s="284"/>
      <c r="D45" s="285"/>
      <c r="E45" s="286"/>
      <c r="F45" s="286"/>
      <c r="G45" s="270"/>
      <c r="H45" s="284"/>
      <c r="I45" s="270"/>
      <c r="J45" s="287"/>
      <c r="K45" s="335"/>
    </row>
    <row r="46" spans="1:12" s="201" customFormat="1" ht="13" thickBot="1">
      <c r="A46" s="325"/>
      <c r="B46" s="272" t="s">
        <v>90</v>
      </c>
      <c r="C46" s="289"/>
      <c r="D46" s="290"/>
      <c r="E46" s="275">
        <f>E44+E43</f>
        <v>775000</v>
      </c>
      <c r="F46" s="275">
        <f>SUM(F43:F44)</f>
        <v>1100000</v>
      </c>
      <c r="G46" s="325"/>
      <c r="H46" s="289"/>
      <c r="I46" s="325"/>
      <c r="J46" s="291"/>
      <c r="K46" s="336"/>
    </row>
    <row r="47" spans="1:12" s="214" customFormat="1" ht="13" thickBot="1">
      <c r="C47" s="203"/>
      <c r="D47" s="204"/>
      <c r="E47" s="216"/>
      <c r="F47" s="216"/>
      <c r="G47" s="201"/>
      <c r="H47" s="203"/>
      <c r="I47" s="206"/>
      <c r="J47" s="231"/>
      <c r="K47" s="334"/>
      <c r="L47" s="201"/>
    </row>
    <row r="48" spans="1:12" s="272" customFormat="1" ht="13" thickBot="1">
      <c r="B48" s="272" t="s">
        <v>47</v>
      </c>
      <c r="C48" s="273">
        <f>C33+C27+C26+C40+C36</f>
        <v>1092390.3800000001</v>
      </c>
      <c r="D48" s="274">
        <v>2415579.4900000002</v>
      </c>
      <c r="E48" s="275">
        <f>E26+E41+E46</f>
        <v>3808162.17</v>
      </c>
      <c r="F48" s="275">
        <f>F26+F41+F46</f>
        <v>4332415.83</v>
      </c>
      <c r="G48" s="292"/>
      <c r="H48" s="273"/>
      <c r="I48" s="273"/>
      <c r="J48" s="273"/>
      <c r="K48" s="337"/>
      <c r="L48" s="232"/>
    </row>
    <row r="49" spans="2:12" s="272" customFormat="1" ht="13" thickBot="1">
      <c r="C49" s="273"/>
      <c r="D49" s="274"/>
      <c r="E49" s="275"/>
      <c r="F49" s="275"/>
      <c r="H49" s="273"/>
      <c r="J49" s="273"/>
      <c r="K49" s="337"/>
      <c r="L49" s="232"/>
    </row>
    <row r="50" spans="2:12" s="294" customFormat="1" ht="13" thickBot="1">
      <c r="B50" s="272" t="s">
        <v>91</v>
      </c>
      <c r="C50" s="273">
        <v>445045</v>
      </c>
      <c r="D50" s="295">
        <v>497147.68</v>
      </c>
      <c r="E50" s="275">
        <v>521301.78</v>
      </c>
      <c r="F50" s="275">
        <v>438405.63</v>
      </c>
      <c r="G50" s="272"/>
      <c r="H50" s="273"/>
      <c r="I50" s="272"/>
      <c r="J50" s="273"/>
      <c r="K50" s="337"/>
      <c r="L50" s="201"/>
    </row>
    <row r="51" spans="2:12" s="296" customFormat="1">
      <c r="D51" s="297"/>
      <c r="E51" s="298"/>
      <c r="F51" s="298"/>
      <c r="I51" s="299"/>
      <c r="J51" s="246"/>
      <c r="K51" s="179"/>
    </row>
  </sheetData>
  <pageMargins left="0.2" right="0.2" top="0.25" bottom="0.25" header="0.05" footer="0.0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Sept 30 2019</vt:lpstr>
      <vt:lpstr>Dec 31 2019</vt:lpstr>
      <vt:lpstr>Mar 31 2020</vt:lpstr>
      <vt:lpstr>Apr 30 2020</vt:lpstr>
      <vt:lpstr>Dec 31 printable</vt:lpstr>
      <vt:lpstr>Mar 31 printable</vt:lpstr>
      <vt:lpstr>Apr 30 printable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2020-05-04T20:01:46Z</cp:lastPrinted>
  <dcterms:created xsi:type="dcterms:W3CDTF">2019-10-20T18:36:17Z</dcterms:created>
  <dcterms:modified xsi:type="dcterms:W3CDTF">2020-05-04T20:02:38Z</dcterms:modified>
</cp:coreProperties>
</file>