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60" yWindow="0" windowWidth="24680" windowHeight="15380" activeTab="1"/>
  </bookViews>
  <sheets>
    <sheet name="Summary" sheetId="1" r:id="rId1"/>
    <sheet name="Option 1—50% Equity Loan" sheetId="2" r:id="rId2"/>
    <sheet name="Option 2—30% Equity Loan" sheetId="3" r:id="rId3"/>
    <sheet name="Option 3—100% from ASOR" sheetId="4" r:id="rId4"/>
    <sheet name="Option 4—Bank Loan" sheetId="5" r:id="rId5"/>
  </sheets>
  <calcPr calcId="140001" concurrentCalc="0"/>
  <customWorkbookViews>
    <customWorkbookView name="Susan Ackerman - Personal View" guid="{87C0874B-AEA8-1A40-A3DE-2C5A4E047180}" mergeInterval="0" personalView="1" xWindow="3" yWindow="54" windowWidth="1234" windowHeight="715" activeSheetId="2" showStatusbar="0"/>
  </customWorkbookViews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9" i="3"/>
  <c r="C17" i="1"/>
  <c r="C26" i="2"/>
  <c r="C20" i="2"/>
  <c r="C14" i="2"/>
  <c r="C42" i="2"/>
  <c r="C20" i="4"/>
  <c r="C10" i="1"/>
  <c r="C33" i="1"/>
  <c r="C20" i="3"/>
  <c r="C7" i="2"/>
  <c r="C45" i="1"/>
  <c r="C51" i="1"/>
  <c r="C53" i="1"/>
  <c r="C12" i="5"/>
  <c r="C39" i="5"/>
  <c r="C13" i="5"/>
  <c r="C7" i="5"/>
  <c r="C9" i="5"/>
  <c r="C14" i="5"/>
  <c r="C26" i="3"/>
  <c r="C14" i="3"/>
  <c r="C42" i="3"/>
  <c r="C39" i="3"/>
  <c r="C7" i="3"/>
  <c r="C8" i="4"/>
  <c r="C13" i="4"/>
  <c r="C39" i="4"/>
  <c r="C7" i="4"/>
  <c r="C39" i="2"/>
  <c r="C42" i="5"/>
  <c r="C9" i="4"/>
  <c r="C14" i="4"/>
  <c r="C15" i="4"/>
  <c r="C33" i="5"/>
  <c r="C15" i="5"/>
  <c r="C19" i="5"/>
  <c r="C25" i="5"/>
  <c r="C27" i="5"/>
  <c r="C33" i="4"/>
  <c r="C27" i="4"/>
  <c r="C21" i="4"/>
  <c r="C29" i="1"/>
  <c r="C11" i="1"/>
  <c r="C5" i="1"/>
  <c r="C21" i="1"/>
  <c r="C22" i="1"/>
  <c r="C47" i="1"/>
  <c r="C34" i="1"/>
  <c r="C8" i="2"/>
  <c r="C41" i="4"/>
  <c r="C21" i="5"/>
  <c r="C41" i="5"/>
  <c r="C39" i="1"/>
  <c r="C13" i="2"/>
  <c r="C25" i="2"/>
  <c r="C19" i="2"/>
  <c r="C48" i="1"/>
  <c r="C43" i="4"/>
  <c r="C40" i="1"/>
  <c r="C8" i="3"/>
  <c r="F8" i="2"/>
  <c r="C33" i="3"/>
  <c r="C27" i="2"/>
  <c r="C15" i="2"/>
  <c r="C21" i="2"/>
  <c r="G25" i="3"/>
  <c r="F8" i="3"/>
  <c r="C21" i="3"/>
  <c r="C15" i="3"/>
  <c r="C27" i="3"/>
  <c r="C41" i="3"/>
  <c r="C42" i="1"/>
  <c r="C36" i="1"/>
</calcChain>
</file>

<file path=xl/sharedStrings.xml><?xml version="1.0" encoding="utf-8"?>
<sst xmlns="http://schemas.openxmlformats.org/spreadsheetml/2006/main" count="211" uniqueCount="101">
  <si>
    <t>Endowment for Operations</t>
  </si>
  <si>
    <t>Named endowments (not operations)</t>
  </si>
  <si>
    <t>Unrestricted Property at end FY18</t>
  </si>
  <si>
    <t>Proposed purchase price</t>
  </si>
  <si>
    <t>Expected expenses with purchase</t>
  </si>
  <si>
    <t>SUBTOTAL GIFTS AND PLEDGES</t>
  </si>
  <si>
    <t>Office Purchase Worksheet</t>
  </si>
  <si>
    <t>Restricted assets for ASOR (as of 12/31/18)</t>
  </si>
  <si>
    <t>(includes $1,235,000 in perm restricted)</t>
  </si>
  <si>
    <t>Total restricted assets</t>
  </si>
  <si>
    <t>Unrestricted for operations at 6/30/18</t>
  </si>
  <si>
    <t>Unrestricted (board designated) at 12/31/2018</t>
  </si>
  <si>
    <t>Unresticted assets for ASOR:</t>
  </si>
  <si>
    <t>GIFTS AND PLEDGES:</t>
  </si>
  <si>
    <t>Building gifts received 12/31/18</t>
  </si>
  <si>
    <t>ESTIMATED FUNDS NEEDED TO CLOSE</t>
  </si>
  <si>
    <t>Building pledges expected before 12/31/22</t>
  </si>
  <si>
    <t>Cash Flow Needs for Purchase:</t>
  </si>
  <si>
    <t>First down-payment 1/20/19</t>
  </si>
  <si>
    <t>Second down-payment 2/10/19</t>
  </si>
  <si>
    <t>Purchases expenses 2/28/19</t>
  </si>
  <si>
    <t>Balance of Purchase Price (3/15/19)</t>
  </si>
  <si>
    <t>TOTAL NEEDED by 3/15/19</t>
  </si>
  <si>
    <t>borrow from unrestricted assets</t>
  </si>
  <si>
    <t>borrow from endowment</t>
  </si>
  <si>
    <t>equity line of credit from bank (BB&amp;T?) at 5.15%</t>
  </si>
  <si>
    <t>Closing costs</t>
  </si>
  <si>
    <t>Purchase costs</t>
  </si>
  <si>
    <t>Purchase</t>
  </si>
  <si>
    <t>Gifts received</t>
  </si>
  <si>
    <t>Funds from Unrestricted Assets</t>
  </si>
  <si>
    <t>Funds from Equity Loan</t>
  </si>
  <si>
    <t>Year 1 Costs</t>
  </si>
  <si>
    <t>Total amount borrowed from bank and ASOR</t>
  </si>
  <si>
    <t xml:space="preserve">     -purchase costs</t>
  </si>
  <si>
    <t>Year 2 Costs</t>
  </si>
  <si>
    <t>Assume that $200,000 principal paid at beginning of year</t>
  </si>
  <si>
    <t xml:space="preserve">     -SUBTOTAL YEAR 1 COSTS</t>
  </si>
  <si>
    <t xml:space="preserve">     -purchase costs ($25,000 in purchase price)</t>
  </si>
  <si>
    <t xml:space="preserve">     -SUBTOTAL Year 2 COSTS</t>
  </si>
  <si>
    <t>Year 3 Costs</t>
  </si>
  <si>
    <t xml:space="preserve">     -2.1% interest foregone on unrestricted funds</t>
  </si>
  <si>
    <t xml:space="preserve">     -5% interest on Equity Loan (assume none paid after first of year)</t>
  </si>
  <si>
    <t>Year 4 Costs</t>
  </si>
  <si>
    <t xml:space="preserve">     -5% interest on Equity Loan</t>
  </si>
  <si>
    <t>Year 5 Costs</t>
  </si>
  <si>
    <t>TOTAL COSTS OVER FIVE YEARS</t>
  </si>
  <si>
    <t xml:space="preserve">     -SUBTOTAL Year 3 Costs</t>
  </si>
  <si>
    <t xml:space="preserve">     -SUBTOTAL Year 4 Costs</t>
  </si>
  <si>
    <t>Note: costs potentially much lower if gifts received sooner than model</t>
  </si>
  <si>
    <t>costs over five years for loan</t>
  </si>
  <si>
    <t>Funds from ASOR endowment "loan"</t>
  </si>
  <si>
    <t>Note: all funds go to ASOR and not bank; donors may not be as motivated to give in this scenario</t>
  </si>
  <si>
    <t>Possible way (#1) to fund purchase (50% equity loan):</t>
  </si>
  <si>
    <t>30% equity line of credit from bank (BB&amp;T?) at 5.15%</t>
  </si>
  <si>
    <t>Details for Option #4 (Bank Loan -- Less Than 80% Loan to Value)</t>
  </si>
  <si>
    <t>Funds from Bank Loan</t>
  </si>
  <si>
    <t xml:space="preserve">     -6% interest on  Loan (assume none repaid in year)</t>
  </si>
  <si>
    <t>bank loan at 6%</t>
  </si>
  <si>
    <t>closing costs (not purchase costs)</t>
  </si>
  <si>
    <t>Note: all of the interest is returned to endowment and not a bank</t>
  </si>
  <si>
    <t>Assume that $200,000 principal toward equity loan paid at beginning of year</t>
  </si>
  <si>
    <t xml:space="preserve">     -5% interest on Equity Loan ($550,000; assume none repaid after first of year)</t>
  </si>
  <si>
    <t xml:space="preserve">     -5% interest on Equity Loan (assume $150,000 remaining)</t>
  </si>
  <si>
    <t>Assume that $155,000 principal paid at beginning of year</t>
  </si>
  <si>
    <t>Gifts received to date</t>
  </si>
  <si>
    <t xml:space="preserve">     -5% interest on Equity Loan ($330,000; assume none repaid in year)</t>
  </si>
  <si>
    <t xml:space="preserve">     -5% intereton Equity Loan ($130,000)</t>
  </si>
  <si>
    <t xml:space="preserve">     -5% interest on Equity Loan (paid off)</t>
  </si>
  <si>
    <t xml:space="preserve">     -purchase costs ($25,000 in purchase price + closing costs; not in loan)</t>
  </si>
  <si>
    <t>Details for Option #1 (50% Equity Loan)</t>
  </si>
  <si>
    <t xml:space="preserve">     -5% interest on Equity Loan (assume $350,000 remaining)</t>
  </si>
  <si>
    <t>Assume that $130,000 principal paid at beginning of year</t>
  </si>
  <si>
    <t xml:space="preserve">     -6% interest on Loan ($530,000; assume none paid after first of year)</t>
  </si>
  <si>
    <t xml:space="preserve">     -6% interest on Loan ($330,000; assume none paid after first of year)</t>
  </si>
  <si>
    <t xml:space="preserve">     -6% interest on Loan ($130,000; assume none paid after first of year)</t>
  </si>
  <si>
    <t xml:space="preserve">     -2.5% interest foregone on unrestricted assets ($400,000)</t>
  </si>
  <si>
    <t xml:space="preserve">     -2.5% interest foregone on unrestricted funds ($330,000)</t>
  </si>
  <si>
    <t xml:space="preserve">     -2.5% interest foregone on unrestricted funds ($130,000)</t>
  </si>
  <si>
    <t xml:space="preserve">     -2.5% interest foregone on unrestricted funds</t>
  </si>
  <si>
    <t xml:space="preserve">     -2.5% interest foregone on unrestricted assets</t>
  </si>
  <si>
    <t xml:space="preserve">     -2.5% interest foregone on unrestricted funds ($180,000)</t>
  </si>
  <si>
    <t xml:space="preserve">     -2.5% interest foregone on unrestricted assets ($180,000)</t>
  </si>
  <si>
    <t xml:space="preserve">    -interest paid to a bank</t>
  </si>
  <si>
    <t xml:space="preserve">    -interest and fees paid to a bank</t>
  </si>
  <si>
    <t xml:space="preserve">     -2.5% interest foregone on unrestricted assets ($650,000)</t>
  </si>
  <si>
    <t xml:space="preserve">     -5% interest on Endowment Loan ($80,000; assume none repaid in year)</t>
  </si>
  <si>
    <t xml:space="preserve">     -5% interest Endowment Loan ($0)</t>
  </si>
  <si>
    <t xml:space="preserve">     -2.5% interest foregone on unrestricted assets ($530,000)</t>
  </si>
  <si>
    <t>Possible way (#4) to fund purchase 4 year bank loan</t>
  </si>
  <si>
    <t>Possible way (#3) to fund purchase (all fom ASOR)</t>
  </si>
  <si>
    <t>Possible way (#2) to fund purchase (30% equity loan):</t>
  </si>
  <si>
    <t>TOTAL UNRESTRICTED NET ASSETS</t>
  </si>
  <si>
    <t>Building pledges expected by 1/31/19</t>
  </si>
  <si>
    <t>gifts expected by 1/31/19</t>
  </si>
  <si>
    <t>Details for Option #2 (30% Equity Loan)</t>
  </si>
  <si>
    <t>Details for Option #3 (Borrow all from ASOR)</t>
  </si>
  <si>
    <t xml:space="preserve">Assume that $167,000 principal paid at beginning of year </t>
  </si>
  <si>
    <t xml:space="preserve">    -interest foregone on unrestricted funds and Endowment loan</t>
  </si>
  <si>
    <t xml:space="preserve">    -interestforegone on unrestricted funds</t>
  </si>
  <si>
    <t xml:space="preserve">    -interest foregone on unrestricted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</si>
</sst>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Font="1"/>
    <xf numFmtId="0" fontId="0" fillId="0" borderId="1" xfId="0" applyBorder="1"/>
    <xf numFmtId="164" fontId="0" fillId="0" borderId="1" xfId="1" applyFont="1" applyBorder="1"/>
    <xf numFmtId="0" fontId="2" fillId="0" borderId="0" xfId="0" applyFont="1"/>
    <xf numFmtId="164" fontId="2" fillId="0" borderId="0" xfId="1" applyFont="1"/>
    <xf numFmtId="0" fontId="2" fillId="0" borderId="0" xfId="0" applyFont="1" applyBorder="1"/>
    <xf numFmtId="0" fontId="0" fillId="0" borderId="0" xfId="0" applyBorder="1"/>
    <xf numFmtId="164" fontId="0" fillId="0" borderId="0" xfId="1" applyFont="1" applyBorder="1"/>
    <xf numFmtId="0" fontId="0" fillId="0" borderId="0" xfId="0" applyFont="1"/>
    <xf numFmtId="0" fontId="0" fillId="0" borderId="1" xfId="0" applyFont="1" applyBorder="1"/>
    <xf numFmtId="164" fontId="0" fillId="0" borderId="0" xfId="1" applyFont="1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164" fontId="1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2" Type="http://schemas.openxmlformats.org/officeDocument/2006/relationships/usernames" Target="revisions/userNames1.xml"/><Relationship Id="rId11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BD1A799-303D-CD4D-AB49-BDF9381CE44F}" diskRevisions="1" revisionId="30">
  <header guid="{5373F95A-129A-8246-97FF-A5DA6DDC0DD3}" dateTime="2019-01-04T11:56:30" maxSheetId="6" userName="Susan Ackerman" r:id="rId1">
    <sheetIdMap count="5">
      <sheetId val="1"/>
      <sheetId val="2"/>
      <sheetId val="3"/>
      <sheetId val="4"/>
      <sheetId val="5"/>
    </sheetIdMap>
  </header>
  <header guid="{8BD1A799-303D-CD4D-AB49-BDF9381CE44F}" dateTime="2019-01-04T12:10:43" maxSheetId="6" userName="Susan Ackerman" r:id="rId2" minRId="1" maxRId="30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9" t="inlineStr">
      <is>
        <t>Building pledges expected by 1/15/19</t>
      </is>
    </oc>
    <nc r="A9" t="inlineStr">
      <is>
        <t>Building pledges expected by 1/31/19</t>
      </is>
    </nc>
  </rcc>
  <rcc rId="2" sId="1">
    <oc r="A33" t="inlineStr">
      <is>
        <t>gifts expected by 1/15/19</t>
      </is>
    </oc>
    <nc r="A33" t="inlineStr">
      <is>
        <t>gifts expected by 1/31/19</t>
      </is>
    </nc>
  </rcc>
  <rcc rId="3" sId="1">
    <oc r="A39" t="inlineStr">
      <is>
        <t>gifts expected by 1/15/19</t>
      </is>
    </oc>
    <nc r="A39" t="inlineStr">
      <is>
        <t>gifts expected by 1/31/19</t>
      </is>
    </nc>
  </rcc>
  <rcc rId="4" sId="1">
    <oc r="A45" t="inlineStr">
      <is>
        <t>gifts expected by 1/15/19</t>
      </is>
    </oc>
    <nc r="A45" t="inlineStr">
      <is>
        <t>gifts expected by 1/31/19</t>
      </is>
    </nc>
  </rcc>
  <rcc rId="5" sId="1">
    <oc r="A51" t="inlineStr">
      <is>
        <t>gifts expected by 1/15/19</t>
      </is>
    </oc>
    <nc r="A51" t="inlineStr">
      <is>
        <t>gifts expected by 1/31/19</t>
      </is>
    </nc>
  </rcc>
  <rcc rId="6" sId="1" numFmtId="34">
    <oc r="C52">
      <f>(C29-C51)*1.02</f>
    </oc>
    <nc r="C52">
      <v>725000</v>
    </nc>
  </rcc>
  <rcc rId="7" sId="1" numFmtId="34">
    <oc r="C54">
      <f>'Option 4—Bank Loan'!C41</f>
    </oc>
    <nc r="C54">
      <v>107000</v>
    </nc>
  </rcc>
  <rcc rId="8" sId="2" numFmtId="34">
    <oc r="C31">
      <f>(130000)*0.025</f>
    </oc>
    <nc r="C31">
      <v>3125</v>
    </nc>
  </rcc>
  <rcc rId="9" sId="2" numFmtId="34">
    <oc r="C33">
      <f>SUM(C30:C32)</f>
    </oc>
    <nc r="C33">
      <v>3125</v>
    </nc>
  </rcc>
  <rcc rId="10" sId="2" numFmtId="34">
    <oc r="C43">
      <f>C31+C26+C19+C13</f>
    </oc>
    <nc r="C43">
      <v>16250</v>
    </nc>
  </rcc>
  <rcc rId="11" sId="2" numFmtId="34">
    <oc r="C41">
      <f>C15+C21+C27+C33</f>
    </oc>
    <nc r="C41">
      <v>68750</v>
    </nc>
  </rcc>
  <rcc rId="12" sId="3">
    <oc r="A1" t="inlineStr">
      <is>
        <t>Details for Option #3 (35% Equity Loan)</t>
      </is>
    </oc>
    <nc r="A1" t="inlineStr">
      <is>
        <t>Details for Option #2 (30% Equity Loan)</t>
      </is>
    </nc>
  </rcc>
  <rcc rId="13" sId="3" numFmtId="34">
    <oc r="C13">
      <f>C8*0.025</f>
    </oc>
    <nc r="C13">
      <v>9875</v>
    </nc>
  </rcc>
  <rcc rId="14" sId="3" numFmtId="34">
    <oc r="C19">
      <f>400000*0.025</f>
    </oc>
    <nc r="C19">
      <v>9875</v>
    </nc>
  </rcc>
  <rcc rId="15" sId="3" numFmtId="34">
    <oc r="C25">
      <f>(330000)*0.025</f>
    </oc>
    <nc r="C25">
      <v>8125</v>
    </nc>
  </rcc>
  <rcc rId="16" sId="3" numFmtId="34">
    <oc r="C31">
      <f>(130000)*0.025</f>
    </oc>
    <nc r="C31">
      <v>3125</v>
    </nc>
  </rcc>
  <rcc rId="17" sId="3" numFmtId="34">
    <oc r="C43">
      <f>C19+C25+C31</f>
    </oc>
    <nc r="C43">
      <v>31000</v>
    </nc>
  </rcc>
  <rcc rId="18" sId="4">
    <oc r="A1" t="inlineStr">
      <is>
        <t>Details for Option #2 (Borrow all from ASOR)</t>
      </is>
    </oc>
    <nc r="A1" t="inlineStr">
      <is>
        <t>Details for Option #3 (Borrow all from ASOR)</t>
      </is>
    </nc>
  </rcc>
  <rcc rId="19" sId="4">
    <oc r="E35" t="inlineStr">
      <is>
        <t xml:space="preserve">Assume that $167,000 principal paid at </t>
      </is>
    </oc>
    <nc r="E35" t="inlineStr">
      <is>
        <t xml:space="preserve">Assume that $167,000 principal paid at beginning of year </t>
      </is>
    </nc>
  </rcc>
  <rcc rId="20" sId="4" numFmtId="34">
    <oc r="C19">
      <f>(530000)*0.025</f>
    </oc>
    <nc r="C19">
      <v>13125</v>
    </nc>
  </rcc>
  <rcc rId="21" sId="4" numFmtId="34">
    <oc r="C25">
      <f>(320000)*0.025</f>
    </oc>
    <nc r="C25">
      <v>8125</v>
    </nc>
  </rcc>
  <rcc rId="22" sId="4" numFmtId="34">
    <oc r="C31">
      <f>(120000)*0.025</f>
    </oc>
    <nc r="C31">
      <v>3125</v>
    </nc>
  </rcc>
  <rcc rId="23" sId="4">
    <oc r="B43" t="inlineStr">
      <is>
        <t xml:space="preserve">    -interest paid to ourselves (ASOR)</t>
      </is>
    </oc>
    <nc r="B43" t="inlineStr">
      <is>
        <t xml:space="preserve">    -interest foregone on unrestricted funds and Endowment loan</t>
      </is>
    </nc>
  </rcc>
  <rcc rId="24" sId="3">
    <oc r="B43" t="inlineStr">
      <is>
        <t xml:space="preserve">    -interest paid to ourselves (ASOR)</t>
      </is>
    </oc>
    <nc r="B43" t="inlineStr">
      <is>
        <t xml:space="preserve">    -interestforegone on unrestricted funds</t>
      </is>
    </nc>
  </rcc>
  <rcc rId="25" sId="2">
    <oc r="B43" t="inlineStr">
      <is>
        <t xml:space="preserve">    -interest paid to ourselves (ASOR)</t>
      </is>
    </oc>
    <nc r="B43" t="inlineStr">
      <is>
        <t xml:space="preserve">    -interest foregone on unrestricted funds</t>
      </is>
    </nc>
  </rcc>
  <rcc rId="26" sId="4">
    <oc r="E42" t="inlineStr">
      <is>
        <t>Note 2: All interest goes to ASOR and not a bank</t>
      </is>
    </oc>
    <nc r="E42"/>
  </rcc>
  <rcc rId="27" sId="5" numFmtId="34">
    <oc r="C20">
      <f>(530000)*0.06</f>
    </oc>
    <nc r="C20">
      <v>31500</v>
    </nc>
  </rcc>
  <rcc rId="28" sId="5" numFmtId="34">
    <oc r="C26">
      <f>(330000)*0.06</f>
    </oc>
    <nc r="C26">
      <v>19500</v>
    </nc>
  </rcc>
  <rcc rId="29" sId="5" numFmtId="34">
    <oc r="C32">
      <f>(130000)*0.06</f>
    </oc>
    <nc r="C32">
      <v>7500</v>
    </nc>
  </rcc>
  <rcc rId="30" sId="5">
    <oc r="B43" t="inlineStr">
      <is>
        <t xml:space="preserve">    -interest paid to ourselves (ASOR)</t>
      </is>
    </oc>
    <nc r="B43" t="inlineStr">
      <is>
        <t xml:space="preserve">    -interest foregone on unrestricted funds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19" workbookViewId="0">
      <selection activeCell="C28" sqref="C28"/>
    </sheetView>
  </sheetViews>
  <sheetFormatPr baseColWidth="10" defaultRowHeight="15" x14ac:dyDescent="0"/>
  <cols>
    <col min="1" max="1" width="45" bestFit="1" customWidth="1"/>
    <col min="2" max="2" width="3.1640625" customWidth="1"/>
    <col min="3" max="3" width="14" style="1" bestFit="1" customWidth="1"/>
    <col min="4" max="4" width="2.83203125" customWidth="1"/>
    <col min="5" max="5" width="12.5" bestFit="1" customWidth="1"/>
  </cols>
  <sheetData>
    <row r="1" spans="1:3">
      <c r="A1" s="4" t="s">
        <v>6</v>
      </c>
    </row>
    <row r="3" spans="1:3">
      <c r="A3" t="s">
        <v>3</v>
      </c>
      <c r="C3" s="1">
        <v>1100000</v>
      </c>
    </row>
    <row r="4" spans="1:3" ht="16" thickBot="1">
      <c r="A4" s="2" t="s">
        <v>4</v>
      </c>
      <c r="B4" s="2"/>
      <c r="C4" s="3">
        <v>20000</v>
      </c>
    </row>
    <row r="5" spans="1:3">
      <c r="A5" s="4" t="s">
        <v>15</v>
      </c>
      <c r="C5" s="5">
        <f>C3+C4</f>
        <v>1120000</v>
      </c>
    </row>
    <row r="7" spans="1:3">
      <c r="A7" s="4" t="s">
        <v>13</v>
      </c>
    </row>
    <row r="8" spans="1:3">
      <c r="A8" t="s">
        <v>14</v>
      </c>
      <c r="C8" s="8">
        <v>360000</v>
      </c>
    </row>
    <row r="9" spans="1:3">
      <c r="A9" s="9" t="s">
        <v>93</v>
      </c>
      <c r="C9" s="1">
        <v>35000</v>
      </c>
    </row>
    <row r="10" spans="1:3" ht="16" thickBot="1">
      <c r="A10" s="2" t="s">
        <v>16</v>
      </c>
      <c r="B10" s="2"/>
      <c r="C10" s="3">
        <f>522000-C9</f>
        <v>487000</v>
      </c>
    </row>
    <row r="11" spans="1:3">
      <c r="A11" s="4" t="s">
        <v>5</v>
      </c>
      <c r="C11" s="5">
        <f>C8+C10+C9</f>
        <v>882000</v>
      </c>
    </row>
    <row r="13" spans="1:3">
      <c r="A13" s="6" t="s">
        <v>12</v>
      </c>
      <c r="B13" s="7"/>
      <c r="C13" s="8"/>
    </row>
    <row r="14" spans="1:3">
      <c r="A14" t="s">
        <v>10</v>
      </c>
      <c r="C14" s="1">
        <v>563400</v>
      </c>
    </row>
    <row r="15" spans="1:3">
      <c r="A15" t="s">
        <v>11</v>
      </c>
      <c r="C15" s="1">
        <v>110522</v>
      </c>
    </row>
    <row r="16" spans="1:3" ht="16" thickBot="1">
      <c r="A16" s="2" t="s">
        <v>2</v>
      </c>
      <c r="B16" s="2"/>
      <c r="C16" s="3">
        <v>19100</v>
      </c>
    </row>
    <row r="17" spans="1:5">
      <c r="A17" s="4" t="s">
        <v>92</v>
      </c>
      <c r="C17" s="5">
        <f>SUM(C14:C16)</f>
        <v>693022</v>
      </c>
    </row>
    <row r="19" spans="1:5">
      <c r="A19" s="4" t="s">
        <v>7</v>
      </c>
    </row>
    <row r="20" spans="1:5">
      <c r="A20" t="s">
        <v>0</v>
      </c>
      <c r="C20" s="1">
        <v>732548</v>
      </c>
    </row>
    <row r="21" spans="1:5" ht="16" thickBot="1">
      <c r="A21" s="2" t="s">
        <v>1</v>
      </c>
      <c r="B21" s="2"/>
      <c r="C21" s="3">
        <f>151629+128753+134944+78036+231068+98000+56435+106492</f>
        <v>985357</v>
      </c>
    </row>
    <row r="22" spans="1:5">
      <c r="A22" s="4" t="s">
        <v>9</v>
      </c>
      <c r="C22" s="5">
        <f>C20+C21</f>
        <v>1717905</v>
      </c>
      <c r="E22" s="4" t="s">
        <v>8</v>
      </c>
    </row>
    <row r="24" spans="1:5">
      <c r="A24" s="4" t="s">
        <v>17</v>
      </c>
    </row>
    <row r="25" spans="1:5">
      <c r="A25" t="s">
        <v>18</v>
      </c>
      <c r="C25" s="1">
        <v>50000</v>
      </c>
    </row>
    <row r="26" spans="1:5">
      <c r="A26" s="9" t="s">
        <v>19</v>
      </c>
      <c r="C26" s="1">
        <v>50000</v>
      </c>
    </row>
    <row r="27" spans="1:5">
      <c r="A27" s="9" t="s">
        <v>20</v>
      </c>
      <c r="C27" s="1">
        <v>20000</v>
      </c>
    </row>
    <row r="28" spans="1:5" ht="16" thickBot="1">
      <c r="A28" s="10" t="s">
        <v>21</v>
      </c>
      <c r="B28" s="2"/>
      <c r="C28" s="3">
        <v>1000000</v>
      </c>
    </row>
    <row r="29" spans="1:5">
      <c r="A29" s="4" t="s">
        <v>22</v>
      </c>
      <c r="C29" s="5">
        <f>SUM(C25:C28)</f>
        <v>1120000</v>
      </c>
    </row>
    <row r="31" spans="1:5">
      <c r="E31" s="12"/>
    </row>
    <row r="32" spans="1:5">
      <c r="A32" s="4" t="s">
        <v>53</v>
      </c>
    </row>
    <row r="33" spans="1:5">
      <c r="A33" t="s">
        <v>94</v>
      </c>
      <c r="C33" s="1">
        <f>C8+C9</f>
        <v>395000</v>
      </c>
    </row>
    <row r="34" spans="1:5">
      <c r="A34" t="s">
        <v>23</v>
      </c>
      <c r="C34" s="1">
        <f>C29-C33-C35</f>
        <v>175000</v>
      </c>
    </row>
    <row r="35" spans="1:5">
      <c r="A35" t="s">
        <v>25</v>
      </c>
      <c r="C35" s="1">
        <v>550000</v>
      </c>
    </row>
    <row r="36" spans="1:5">
      <c r="A36" s="4" t="s">
        <v>50</v>
      </c>
      <c r="C36" s="5">
        <f>'Option 1—50% Equity Loan'!C41</f>
        <v>68750</v>
      </c>
    </row>
    <row r="38" spans="1:5">
      <c r="A38" s="4" t="s">
        <v>91</v>
      </c>
      <c r="C38" s="5"/>
    </row>
    <row r="39" spans="1:5">
      <c r="A39" t="s">
        <v>94</v>
      </c>
      <c r="C39" s="14">
        <f>C33</f>
        <v>395000</v>
      </c>
    </row>
    <row r="40" spans="1:5">
      <c r="A40" t="s">
        <v>23</v>
      </c>
      <c r="C40" s="14">
        <f>1125000-C39-C41</f>
        <v>400000</v>
      </c>
    </row>
    <row r="41" spans="1:5">
      <c r="A41" t="s">
        <v>54</v>
      </c>
      <c r="C41" s="14">
        <f>1100000*0.3</f>
        <v>330000</v>
      </c>
    </row>
    <row r="42" spans="1:5">
      <c r="A42" s="4" t="s">
        <v>50</v>
      </c>
      <c r="C42" s="5">
        <f>'Option 2—30% Equity Loan'!C41</f>
        <v>54000</v>
      </c>
    </row>
    <row r="43" spans="1:5">
      <c r="A43" s="4"/>
      <c r="C43" s="5"/>
    </row>
    <row r="44" spans="1:5">
      <c r="A44" s="4" t="s">
        <v>90</v>
      </c>
    </row>
    <row r="45" spans="1:5">
      <c r="A45" t="s">
        <v>94</v>
      </c>
      <c r="C45" s="1">
        <f>C33</f>
        <v>395000</v>
      </c>
    </row>
    <row r="46" spans="1:5">
      <c r="A46" t="s">
        <v>23</v>
      </c>
      <c r="C46" s="1">
        <v>650000</v>
      </c>
    </row>
    <row r="47" spans="1:5">
      <c r="A47" t="s">
        <v>24</v>
      </c>
      <c r="C47" s="1">
        <f>C29-(C45+C46)</f>
        <v>75000</v>
      </c>
    </row>
    <row r="48" spans="1:5">
      <c r="A48" s="4" t="s">
        <v>50</v>
      </c>
      <c r="C48" s="5">
        <f>'Option 3—100% from ASOR'!C41</f>
        <v>44375</v>
      </c>
      <c r="E48" t="s">
        <v>52</v>
      </c>
    </row>
    <row r="49" spans="1:3">
      <c r="A49" s="4"/>
      <c r="C49" s="5"/>
    </row>
    <row r="50" spans="1:3">
      <c r="A50" s="4" t="s">
        <v>89</v>
      </c>
    </row>
    <row r="51" spans="1:3">
      <c r="A51" t="s">
        <v>94</v>
      </c>
      <c r="C51" s="1">
        <f>C33</f>
        <v>395000</v>
      </c>
    </row>
    <row r="52" spans="1:3">
      <c r="A52" t="s">
        <v>58</v>
      </c>
      <c r="C52" s="11">
        <v>725000</v>
      </c>
    </row>
    <row r="53" spans="1:3">
      <c r="A53" t="s">
        <v>59</v>
      </c>
      <c r="C53" s="11">
        <f>'Option 4—Bank Loan'!C3</f>
        <v>5000</v>
      </c>
    </row>
    <row r="54" spans="1:3">
      <c r="A54" s="4" t="s">
        <v>50</v>
      </c>
      <c r="C54" s="5">
        <v>107000</v>
      </c>
    </row>
    <row r="58" spans="1:3">
      <c r="A58" s="4"/>
    </row>
  </sheetData>
  <customSheetViews>
    <customSheetView guid="{87C0874B-AEA8-1A40-A3DE-2C5A4E047180}" topLeftCell="A19">
      <selection activeCell="C28" sqref="C28"/>
    </customSheetView>
  </customSheetView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="110" zoomScaleNormal="120" zoomScalePageLayoutView="120" workbookViewId="0">
      <selection activeCell="C6" sqref="C6"/>
    </sheetView>
  </sheetViews>
  <sheetFormatPr baseColWidth="10" defaultRowHeight="15" x14ac:dyDescent="0"/>
  <cols>
    <col min="2" max="2" width="69.1640625" bestFit="1" customWidth="1"/>
    <col min="3" max="3" width="14.33203125" style="12" bestFit="1" customWidth="1"/>
    <col min="5" max="5" width="38.83203125" bestFit="1" customWidth="1"/>
    <col min="6" max="6" width="14.33203125" bestFit="1" customWidth="1"/>
    <col min="7" max="7" width="12.6640625" bestFit="1" customWidth="1"/>
  </cols>
  <sheetData>
    <row r="1" spans="1:6">
      <c r="A1" s="4" t="s">
        <v>70</v>
      </c>
    </row>
    <row r="3" spans="1:6">
      <c r="B3" t="s">
        <v>26</v>
      </c>
      <c r="C3" s="12">
        <v>0</v>
      </c>
    </row>
    <row r="4" spans="1:6">
      <c r="B4" t="s">
        <v>27</v>
      </c>
      <c r="C4" s="12">
        <v>20000</v>
      </c>
    </row>
    <row r="5" spans="1:6">
      <c r="B5" t="s">
        <v>28</v>
      </c>
      <c r="C5" s="12">
        <v>1100000</v>
      </c>
    </row>
    <row r="7" spans="1:6">
      <c r="B7" t="s">
        <v>29</v>
      </c>
      <c r="C7" s="12">
        <f>Summary!C9+Summary!C8</f>
        <v>395000</v>
      </c>
    </row>
    <row r="8" spans="1:6">
      <c r="B8" t="s">
        <v>30</v>
      </c>
      <c r="C8" s="12">
        <f>Summary!C34</f>
        <v>175000</v>
      </c>
      <c r="E8" t="s">
        <v>33</v>
      </c>
      <c r="F8" s="12">
        <f>C8+C9</f>
        <v>725000</v>
      </c>
    </row>
    <row r="9" spans="1:6">
      <c r="B9" t="s">
        <v>31</v>
      </c>
      <c r="C9" s="12">
        <v>550000</v>
      </c>
      <c r="F9" s="12"/>
    </row>
    <row r="11" spans="1:6">
      <c r="B11" s="4" t="s">
        <v>32</v>
      </c>
    </row>
    <row r="12" spans="1:6">
      <c r="B12" t="s">
        <v>38</v>
      </c>
      <c r="C12" s="12">
        <v>0</v>
      </c>
    </row>
    <row r="13" spans="1:6">
      <c r="B13" t="s">
        <v>82</v>
      </c>
      <c r="C13" s="12">
        <f>C8*0.025</f>
        <v>4375</v>
      </c>
    </row>
    <row r="14" spans="1:6">
      <c r="B14" t="s">
        <v>62</v>
      </c>
      <c r="C14" s="12">
        <f>C9*0.05</f>
        <v>27500</v>
      </c>
    </row>
    <row r="15" spans="1:6">
      <c r="B15" s="4" t="s">
        <v>37</v>
      </c>
      <c r="C15" s="13">
        <f>C12+C13+C14</f>
        <v>31875</v>
      </c>
    </row>
    <row r="17" spans="2:5">
      <c r="B17" s="4" t="s">
        <v>35</v>
      </c>
      <c r="E17" t="s">
        <v>61</v>
      </c>
    </row>
    <row r="18" spans="2:5">
      <c r="B18" t="s">
        <v>34</v>
      </c>
      <c r="C18" s="12">
        <v>0</v>
      </c>
    </row>
    <row r="19" spans="2:5">
      <c r="B19" t="s">
        <v>82</v>
      </c>
      <c r="C19" s="12">
        <f>(C8-0)*0.025</f>
        <v>4375</v>
      </c>
    </row>
    <row r="20" spans="2:5">
      <c r="B20" t="s">
        <v>71</v>
      </c>
      <c r="C20" s="12">
        <f>(350000)*0.05</f>
        <v>17500</v>
      </c>
    </row>
    <row r="21" spans="2:5">
      <c r="B21" s="4" t="s">
        <v>39</v>
      </c>
      <c r="C21" s="13">
        <f>C19+C20</f>
        <v>21875</v>
      </c>
    </row>
    <row r="23" spans="2:5">
      <c r="B23" s="4" t="s">
        <v>40</v>
      </c>
    </row>
    <row r="24" spans="2:5">
      <c r="B24" t="s">
        <v>34</v>
      </c>
      <c r="C24" s="12">
        <v>0</v>
      </c>
      <c r="E24" t="s">
        <v>36</v>
      </c>
    </row>
    <row r="25" spans="2:5">
      <c r="B25" t="s">
        <v>81</v>
      </c>
      <c r="C25" s="12">
        <f>C8*0.025</f>
        <v>4375</v>
      </c>
    </row>
    <row r="26" spans="2:5">
      <c r="B26" t="s">
        <v>63</v>
      </c>
      <c r="C26" s="12">
        <f>(150000)*0.05</f>
        <v>7500</v>
      </c>
    </row>
    <row r="27" spans="2:5">
      <c r="B27" s="4" t="s">
        <v>47</v>
      </c>
      <c r="C27" s="13">
        <f>SUM(C24:C26)</f>
        <v>11875</v>
      </c>
    </row>
    <row r="29" spans="2:5">
      <c r="B29" s="4" t="s">
        <v>43</v>
      </c>
    </row>
    <row r="30" spans="2:5">
      <c r="B30" t="s">
        <v>34</v>
      </c>
      <c r="C30" s="12">
        <v>0</v>
      </c>
      <c r="E30" t="s">
        <v>36</v>
      </c>
    </row>
    <row r="31" spans="2:5">
      <c r="B31" t="s">
        <v>78</v>
      </c>
      <c r="C31" s="12">
        <v>3125</v>
      </c>
    </row>
    <row r="32" spans="2:5">
      <c r="B32" t="s">
        <v>44</v>
      </c>
      <c r="C32" s="12">
        <v>0</v>
      </c>
    </row>
    <row r="33" spans="2:7">
      <c r="B33" s="4" t="s">
        <v>48</v>
      </c>
      <c r="C33" s="13">
        <v>3125</v>
      </c>
      <c r="G33" s="12"/>
    </row>
    <row r="35" spans="2:7">
      <c r="B35" s="4" t="s">
        <v>45</v>
      </c>
      <c r="E35" t="s">
        <v>72</v>
      </c>
    </row>
    <row r="36" spans="2:7">
      <c r="B36" t="s">
        <v>34</v>
      </c>
      <c r="C36" s="12">
        <v>0</v>
      </c>
    </row>
    <row r="37" spans="2:7">
      <c r="B37" t="s">
        <v>41</v>
      </c>
      <c r="C37" s="12">
        <v>0</v>
      </c>
    </row>
    <row r="38" spans="2:7">
      <c r="B38" t="s">
        <v>44</v>
      </c>
      <c r="C38" s="12">
        <v>0</v>
      </c>
    </row>
    <row r="39" spans="2:7">
      <c r="B39" s="4" t="s">
        <v>47</v>
      </c>
      <c r="C39" s="13">
        <f>SUM(C36:C38)</f>
        <v>0</v>
      </c>
    </row>
    <row r="41" spans="2:7">
      <c r="B41" s="4" t="s">
        <v>46</v>
      </c>
      <c r="C41" s="13">
        <v>68750</v>
      </c>
      <c r="E41" s="4" t="s">
        <v>49</v>
      </c>
    </row>
    <row r="42" spans="2:7">
      <c r="B42" t="s">
        <v>83</v>
      </c>
      <c r="C42" s="12">
        <f>C26+C20+C14</f>
        <v>52500</v>
      </c>
    </row>
    <row r="43" spans="2:7">
      <c r="B43" s="9" t="s">
        <v>100</v>
      </c>
      <c r="C43" s="12">
        <v>16250</v>
      </c>
    </row>
  </sheetData>
  <customSheetViews>
    <customSheetView guid="{87C0874B-AEA8-1A40-A3DE-2C5A4E047180}" scale="110">
      <selection activeCell="C6" sqref="C6"/>
    </customSheetView>
  </customSheetView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5" workbookViewId="0">
      <selection activeCell="C10" sqref="C10"/>
    </sheetView>
  </sheetViews>
  <sheetFormatPr baseColWidth="10" defaultRowHeight="15" x14ac:dyDescent="0"/>
  <cols>
    <col min="2" max="2" width="60.33203125" bestFit="1" customWidth="1"/>
    <col min="3" max="3" width="14.33203125" style="12" bestFit="1" customWidth="1"/>
    <col min="5" max="5" width="38.83203125" bestFit="1" customWidth="1"/>
    <col min="6" max="6" width="14" bestFit="1" customWidth="1"/>
    <col min="7" max="7" width="12.5" bestFit="1" customWidth="1"/>
  </cols>
  <sheetData>
    <row r="1" spans="1:6">
      <c r="A1" s="4" t="s">
        <v>95</v>
      </c>
    </row>
    <row r="3" spans="1:6">
      <c r="B3" t="s">
        <v>26</v>
      </c>
      <c r="C3" s="12">
        <v>0</v>
      </c>
    </row>
    <row r="4" spans="1:6">
      <c r="B4" t="s">
        <v>27</v>
      </c>
      <c r="C4" s="12">
        <v>20000</v>
      </c>
    </row>
    <row r="5" spans="1:6">
      <c r="B5" t="s">
        <v>28</v>
      </c>
      <c r="C5" s="12">
        <v>1100000</v>
      </c>
    </row>
    <row r="7" spans="1:6">
      <c r="B7" t="s">
        <v>29</v>
      </c>
      <c r="C7" s="12">
        <f>Summary!C9+Summary!C8</f>
        <v>395000</v>
      </c>
    </row>
    <row r="8" spans="1:6">
      <c r="B8" t="s">
        <v>30</v>
      </c>
      <c r="C8" s="12">
        <f>Summary!C40</f>
        <v>400000</v>
      </c>
      <c r="E8" t="s">
        <v>33</v>
      </c>
      <c r="F8" s="12">
        <f>C8+C9</f>
        <v>730000</v>
      </c>
    </row>
    <row r="9" spans="1:6">
      <c r="B9" t="s">
        <v>31</v>
      </c>
      <c r="C9" s="12">
        <f>Summary!C41</f>
        <v>330000</v>
      </c>
      <c r="F9" s="12"/>
    </row>
    <row r="11" spans="1:6">
      <c r="B11" s="4" t="s">
        <v>32</v>
      </c>
    </row>
    <row r="12" spans="1:6">
      <c r="B12" t="s">
        <v>38</v>
      </c>
      <c r="C12" s="12">
        <v>0</v>
      </c>
    </row>
    <row r="13" spans="1:6">
      <c r="B13" t="s">
        <v>76</v>
      </c>
      <c r="C13" s="12">
        <v>9875</v>
      </c>
    </row>
    <row r="14" spans="1:6">
      <c r="B14" t="s">
        <v>66</v>
      </c>
      <c r="C14" s="12">
        <f>C9*0.05</f>
        <v>16500</v>
      </c>
    </row>
    <row r="15" spans="1:6">
      <c r="B15" s="4" t="s">
        <v>37</v>
      </c>
      <c r="C15" s="13">
        <f>C12+C13+C14</f>
        <v>26375</v>
      </c>
    </row>
    <row r="17" spans="2:7">
      <c r="B17" s="4" t="s">
        <v>35</v>
      </c>
      <c r="E17" t="s">
        <v>36</v>
      </c>
    </row>
    <row r="18" spans="2:7">
      <c r="B18" t="s">
        <v>34</v>
      </c>
      <c r="C18" s="12">
        <v>0</v>
      </c>
    </row>
    <row r="19" spans="2:7">
      <c r="B19" t="s">
        <v>76</v>
      </c>
      <c r="C19" s="12">
        <v>9875</v>
      </c>
    </row>
    <row r="20" spans="2:7">
      <c r="B20" t="s">
        <v>67</v>
      </c>
      <c r="C20" s="12">
        <f>(130000*0.05)</f>
        <v>6500</v>
      </c>
    </row>
    <row r="21" spans="2:7">
      <c r="B21" s="4" t="s">
        <v>39</v>
      </c>
      <c r="C21" s="13">
        <f>C19+C20</f>
        <v>16375</v>
      </c>
    </row>
    <row r="23" spans="2:7">
      <c r="B23" s="4" t="s">
        <v>40</v>
      </c>
    </row>
    <row r="24" spans="2:7">
      <c r="B24" t="s">
        <v>34</v>
      </c>
      <c r="C24" s="12">
        <v>0</v>
      </c>
      <c r="E24" t="s">
        <v>36</v>
      </c>
    </row>
    <row r="25" spans="2:7">
      <c r="B25" t="s">
        <v>77</v>
      </c>
      <c r="C25" s="12">
        <v>8125</v>
      </c>
      <c r="G25" s="12">
        <f>C8-70000</f>
        <v>330000</v>
      </c>
    </row>
    <row r="26" spans="2:7">
      <c r="B26" t="s">
        <v>68</v>
      </c>
      <c r="C26" s="12">
        <f>(0)*0.05</f>
        <v>0</v>
      </c>
    </row>
    <row r="27" spans="2:7">
      <c r="B27" s="4" t="s">
        <v>47</v>
      </c>
      <c r="C27" s="13">
        <f>SUM(C24:C26)</f>
        <v>8125</v>
      </c>
    </row>
    <row r="29" spans="2:7">
      <c r="B29" s="4" t="s">
        <v>43</v>
      </c>
    </row>
    <row r="30" spans="2:7">
      <c r="B30" t="s">
        <v>34</v>
      </c>
      <c r="C30" s="12">
        <v>0</v>
      </c>
      <c r="E30" t="s">
        <v>36</v>
      </c>
    </row>
    <row r="31" spans="2:7">
      <c r="B31" t="s">
        <v>78</v>
      </c>
      <c r="C31" s="12">
        <v>3125</v>
      </c>
    </row>
    <row r="32" spans="2:7">
      <c r="B32" t="s">
        <v>44</v>
      </c>
      <c r="C32" s="12">
        <v>0</v>
      </c>
      <c r="G32" s="12"/>
    </row>
    <row r="33" spans="2:5">
      <c r="B33" s="4" t="s">
        <v>48</v>
      </c>
      <c r="C33" s="13">
        <f>SUM(C30:C32)</f>
        <v>3125</v>
      </c>
    </row>
    <row r="35" spans="2:5">
      <c r="B35" s="4" t="s">
        <v>45</v>
      </c>
      <c r="E35" t="s">
        <v>64</v>
      </c>
    </row>
    <row r="36" spans="2:5">
      <c r="B36" t="s">
        <v>34</v>
      </c>
      <c r="C36" s="12">
        <v>0</v>
      </c>
    </row>
    <row r="37" spans="2:5">
      <c r="B37" t="s">
        <v>79</v>
      </c>
      <c r="C37" s="12">
        <v>0</v>
      </c>
    </row>
    <row r="38" spans="2:5">
      <c r="B38" t="s">
        <v>44</v>
      </c>
      <c r="C38" s="12">
        <v>0</v>
      </c>
    </row>
    <row r="39" spans="2:5">
      <c r="B39" s="4" t="s">
        <v>47</v>
      </c>
      <c r="C39" s="13">
        <f>SUM(C36:C38)</f>
        <v>0</v>
      </c>
    </row>
    <row r="41" spans="2:5">
      <c r="B41" s="4" t="s">
        <v>46</v>
      </c>
      <c r="C41" s="13">
        <f>C15+C21+C27+C33</f>
        <v>54000</v>
      </c>
      <c r="E41" s="4" t="s">
        <v>49</v>
      </c>
    </row>
    <row r="42" spans="2:5">
      <c r="B42" t="s">
        <v>83</v>
      </c>
      <c r="C42" s="12">
        <f>C14+C20</f>
        <v>23000</v>
      </c>
    </row>
    <row r="43" spans="2:5">
      <c r="B43" s="9" t="s">
        <v>99</v>
      </c>
      <c r="C43" s="12">
        <v>31000</v>
      </c>
    </row>
  </sheetData>
  <customSheetViews>
    <customSheetView guid="{87C0874B-AEA8-1A40-A3DE-2C5A4E047180}" topLeftCell="A15">
      <selection activeCell="C10" sqref="C10"/>
    </customSheetView>
  </customSheetView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5" sqref="C5"/>
    </sheetView>
  </sheetViews>
  <sheetFormatPr baseColWidth="10" defaultRowHeight="15" x14ac:dyDescent="0"/>
  <cols>
    <col min="2" max="2" width="65.33203125" bestFit="1" customWidth="1"/>
    <col min="3" max="3" width="14.33203125" style="12" bestFit="1" customWidth="1"/>
    <col min="5" max="5" width="38.83203125" bestFit="1" customWidth="1"/>
    <col min="6" max="6" width="12.6640625" bestFit="1" customWidth="1"/>
    <col min="7" max="7" width="14" bestFit="1" customWidth="1"/>
    <col min="8" max="8" width="12.5" bestFit="1" customWidth="1"/>
  </cols>
  <sheetData>
    <row r="1" spans="1:8">
      <c r="A1" s="4" t="s">
        <v>96</v>
      </c>
    </row>
    <row r="3" spans="1:8">
      <c r="B3" t="s">
        <v>26</v>
      </c>
      <c r="C3" s="12">
        <v>0</v>
      </c>
    </row>
    <row r="4" spans="1:8">
      <c r="B4" t="s">
        <v>27</v>
      </c>
      <c r="C4" s="12">
        <v>20000</v>
      </c>
    </row>
    <row r="5" spans="1:8">
      <c r="B5" t="s">
        <v>28</v>
      </c>
      <c r="C5" s="12">
        <v>1100000</v>
      </c>
    </row>
    <row r="7" spans="1:8">
      <c r="B7" t="s">
        <v>65</v>
      </c>
      <c r="C7" s="12">
        <f>Summary!C9+Summary!C8</f>
        <v>395000</v>
      </c>
    </row>
    <row r="8" spans="1:8">
      <c r="B8" t="s">
        <v>30</v>
      </c>
      <c r="C8" s="12">
        <f>Summary!C46</f>
        <v>650000</v>
      </c>
      <c r="E8" t="s">
        <v>33</v>
      </c>
      <c r="F8" s="12"/>
    </row>
    <row r="9" spans="1:8">
      <c r="B9" t="s">
        <v>51</v>
      </c>
      <c r="C9" s="12">
        <f>C5-C7-C8+C4</f>
        <v>75000</v>
      </c>
      <c r="G9" s="12"/>
    </row>
    <row r="11" spans="1:8">
      <c r="B11" s="4" t="s">
        <v>32</v>
      </c>
    </row>
    <row r="12" spans="1:8">
      <c r="B12" t="s">
        <v>38</v>
      </c>
      <c r="C12" s="12">
        <v>0</v>
      </c>
      <c r="H12" s="12"/>
    </row>
    <row r="13" spans="1:8">
      <c r="B13" t="s">
        <v>85</v>
      </c>
      <c r="C13" s="12">
        <f>C8*0.025</f>
        <v>16250</v>
      </c>
      <c r="H13" s="12"/>
    </row>
    <row r="14" spans="1:8">
      <c r="B14" t="s">
        <v>86</v>
      </c>
      <c r="C14" s="12">
        <f>C9*0.05</f>
        <v>3750</v>
      </c>
      <c r="E14" t="s">
        <v>60</v>
      </c>
    </row>
    <row r="15" spans="1:8">
      <c r="B15" s="4" t="s">
        <v>37</v>
      </c>
      <c r="C15" s="13">
        <f>C12+C13+C14</f>
        <v>20000</v>
      </c>
    </row>
    <row r="17" spans="2:7">
      <c r="B17" s="4" t="s">
        <v>35</v>
      </c>
      <c r="E17" t="s">
        <v>36</v>
      </c>
    </row>
    <row r="18" spans="2:7">
      <c r="B18" t="s">
        <v>34</v>
      </c>
      <c r="C18" s="12">
        <v>0</v>
      </c>
    </row>
    <row r="19" spans="2:7">
      <c r="B19" t="s">
        <v>88</v>
      </c>
      <c r="C19" s="12">
        <v>13125</v>
      </c>
    </row>
    <row r="20" spans="2:7">
      <c r="B20" t="s">
        <v>87</v>
      </c>
      <c r="C20" s="12">
        <f>(0)*0.05</f>
        <v>0</v>
      </c>
    </row>
    <row r="21" spans="2:7">
      <c r="B21" s="4" t="s">
        <v>39</v>
      </c>
      <c r="C21" s="13">
        <f>C19+C20</f>
        <v>13125</v>
      </c>
      <c r="G21" s="12"/>
    </row>
    <row r="23" spans="2:7">
      <c r="B23" s="4" t="s">
        <v>40</v>
      </c>
    </row>
    <row r="24" spans="2:7">
      <c r="B24" t="s">
        <v>34</v>
      </c>
      <c r="C24" s="12">
        <v>0</v>
      </c>
      <c r="E24" t="s">
        <v>36</v>
      </c>
    </row>
    <row r="25" spans="2:7">
      <c r="B25" t="s">
        <v>77</v>
      </c>
      <c r="C25" s="12">
        <v>8125</v>
      </c>
    </row>
    <row r="26" spans="2:7">
      <c r="B26" t="s">
        <v>42</v>
      </c>
      <c r="C26" s="12">
        <v>0</v>
      </c>
    </row>
    <row r="27" spans="2:7">
      <c r="B27" s="4" t="s">
        <v>47</v>
      </c>
      <c r="C27" s="13">
        <f>SUM(C24:C26)</f>
        <v>8125</v>
      </c>
    </row>
    <row r="29" spans="2:7">
      <c r="B29" s="4" t="s">
        <v>43</v>
      </c>
    </row>
    <row r="30" spans="2:7">
      <c r="B30" t="s">
        <v>34</v>
      </c>
      <c r="C30" s="12">
        <v>0</v>
      </c>
      <c r="E30" t="s">
        <v>36</v>
      </c>
    </row>
    <row r="31" spans="2:7">
      <c r="B31" t="s">
        <v>78</v>
      </c>
      <c r="C31" s="12">
        <v>3125</v>
      </c>
    </row>
    <row r="32" spans="2:7">
      <c r="B32" t="s">
        <v>44</v>
      </c>
      <c r="C32" s="12">
        <v>0</v>
      </c>
    </row>
    <row r="33" spans="2:5">
      <c r="B33" s="4" t="s">
        <v>48</v>
      </c>
      <c r="C33" s="13">
        <f>SUM(C30:C32)</f>
        <v>3125</v>
      </c>
    </row>
    <row r="35" spans="2:5">
      <c r="B35" s="4" t="s">
        <v>45</v>
      </c>
      <c r="E35" t="s">
        <v>97</v>
      </c>
    </row>
    <row r="36" spans="2:5">
      <c r="B36" t="s">
        <v>34</v>
      </c>
      <c r="C36" s="12">
        <v>0</v>
      </c>
    </row>
    <row r="37" spans="2:5">
      <c r="B37" t="s">
        <v>79</v>
      </c>
      <c r="C37" s="12">
        <v>0</v>
      </c>
    </row>
    <row r="38" spans="2:5">
      <c r="B38" t="s">
        <v>44</v>
      </c>
      <c r="C38" s="12">
        <v>0</v>
      </c>
    </row>
    <row r="39" spans="2:5">
      <c r="B39" s="4" t="s">
        <v>47</v>
      </c>
      <c r="C39" s="13">
        <f>SUM(C36:C38)</f>
        <v>0</v>
      </c>
    </row>
    <row r="41" spans="2:5">
      <c r="B41" s="4" t="s">
        <v>46</v>
      </c>
      <c r="C41" s="13">
        <f>C15+C21+C27+C33</f>
        <v>44375</v>
      </c>
      <c r="E41" s="4" t="s">
        <v>49</v>
      </c>
    </row>
    <row r="42" spans="2:5">
      <c r="B42" t="s">
        <v>83</v>
      </c>
      <c r="C42" s="12">
        <v>0</v>
      </c>
      <c r="E42" s="4"/>
    </row>
    <row r="43" spans="2:5">
      <c r="B43" s="9" t="s">
        <v>98</v>
      </c>
      <c r="C43" s="12">
        <f>C41</f>
        <v>44375</v>
      </c>
    </row>
  </sheetData>
  <customSheetViews>
    <customSheetView guid="{87C0874B-AEA8-1A40-A3DE-2C5A4E047180}">
      <selection activeCell="C5" sqref="C5"/>
    </customSheetView>
  </customSheetView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C10" sqref="C10"/>
    </sheetView>
  </sheetViews>
  <sheetFormatPr baseColWidth="10" defaultRowHeight="15" x14ac:dyDescent="0"/>
  <cols>
    <col min="2" max="2" width="61.6640625" bestFit="1" customWidth="1"/>
    <col min="3" max="3" width="14.33203125" style="12" bestFit="1" customWidth="1"/>
    <col min="5" max="5" width="38.83203125" bestFit="1" customWidth="1"/>
    <col min="6" max="6" width="14.1640625" bestFit="1" customWidth="1"/>
  </cols>
  <sheetData>
    <row r="1" spans="1:6">
      <c r="A1" s="4" t="s">
        <v>55</v>
      </c>
    </row>
    <row r="3" spans="1:6">
      <c r="B3" t="s">
        <v>26</v>
      </c>
      <c r="C3" s="12">
        <v>5000</v>
      </c>
    </row>
    <row r="4" spans="1:6">
      <c r="B4" t="s">
        <v>27</v>
      </c>
      <c r="C4" s="12">
        <v>20000</v>
      </c>
    </row>
    <row r="5" spans="1:6">
      <c r="B5" t="s">
        <v>28</v>
      </c>
      <c r="C5" s="12">
        <v>1100000</v>
      </c>
    </row>
    <row r="7" spans="1:6">
      <c r="B7" t="s">
        <v>29</v>
      </c>
      <c r="C7" s="12">
        <f>Summary!C9+Summary!C8</f>
        <v>395000</v>
      </c>
    </row>
    <row r="8" spans="1:6">
      <c r="B8" t="s">
        <v>30</v>
      </c>
      <c r="C8" s="12">
        <v>0</v>
      </c>
      <c r="E8" t="s">
        <v>33</v>
      </c>
      <c r="F8" s="12"/>
    </row>
    <row r="9" spans="1:6">
      <c r="B9" t="s">
        <v>56</v>
      </c>
      <c r="C9" s="12">
        <f>(C4+C5)-C7</f>
        <v>725000</v>
      </c>
    </row>
    <row r="10" spans="1:6">
      <c r="F10" s="12"/>
    </row>
    <row r="11" spans="1:6">
      <c r="B11" s="4" t="s">
        <v>32</v>
      </c>
    </row>
    <row r="12" spans="1:6">
      <c r="B12" t="s">
        <v>69</v>
      </c>
      <c r="C12" s="12">
        <f>C3</f>
        <v>5000</v>
      </c>
    </row>
    <row r="13" spans="1:6">
      <c r="B13" t="s">
        <v>80</v>
      </c>
      <c r="C13" s="12">
        <f>C8*0.021</f>
        <v>0</v>
      </c>
    </row>
    <row r="14" spans="1:6">
      <c r="B14" t="s">
        <v>57</v>
      </c>
      <c r="C14" s="12">
        <f>C9*0.06</f>
        <v>43500</v>
      </c>
    </row>
    <row r="15" spans="1:6">
      <c r="B15" s="4" t="s">
        <v>37</v>
      </c>
      <c r="C15" s="13">
        <f>C12+C13+C14</f>
        <v>48500</v>
      </c>
    </row>
    <row r="17" spans="2:5">
      <c r="B17" s="4" t="s">
        <v>35</v>
      </c>
      <c r="E17" t="s">
        <v>36</v>
      </c>
    </row>
    <row r="18" spans="2:5">
      <c r="B18" t="s">
        <v>34</v>
      </c>
      <c r="C18" s="12">
        <v>0</v>
      </c>
    </row>
    <row r="19" spans="2:5">
      <c r="B19" t="s">
        <v>80</v>
      </c>
      <c r="C19" s="12">
        <f>C8*0.021</f>
        <v>0</v>
      </c>
    </row>
    <row r="20" spans="2:5">
      <c r="B20" t="s">
        <v>73</v>
      </c>
      <c r="C20" s="12">
        <v>31500</v>
      </c>
    </row>
    <row r="21" spans="2:5">
      <c r="B21" s="4" t="s">
        <v>39</v>
      </c>
      <c r="C21" s="13">
        <f>C19+C20</f>
        <v>31500</v>
      </c>
    </row>
    <row r="23" spans="2:5">
      <c r="B23" s="4" t="s">
        <v>40</v>
      </c>
    </row>
    <row r="24" spans="2:5">
      <c r="B24" t="s">
        <v>34</v>
      </c>
      <c r="C24" s="12">
        <v>0</v>
      </c>
      <c r="E24" t="s">
        <v>36</v>
      </c>
    </row>
    <row r="25" spans="2:5">
      <c r="B25" t="s">
        <v>79</v>
      </c>
      <c r="C25" s="12">
        <f>C8*0.021</f>
        <v>0</v>
      </c>
    </row>
    <row r="26" spans="2:5">
      <c r="B26" t="s">
        <v>74</v>
      </c>
      <c r="C26" s="12">
        <v>19500</v>
      </c>
    </row>
    <row r="27" spans="2:5">
      <c r="B27" s="4" t="s">
        <v>47</v>
      </c>
      <c r="C27" s="13">
        <f>SUM(C24:C26)</f>
        <v>19500</v>
      </c>
    </row>
    <row r="29" spans="2:5">
      <c r="B29" s="4" t="s">
        <v>43</v>
      </c>
    </row>
    <row r="30" spans="2:5">
      <c r="B30" t="s">
        <v>34</v>
      </c>
      <c r="C30" s="12">
        <v>0</v>
      </c>
      <c r="E30" t="s">
        <v>36</v>
      </c>
    </row>
    <row r="31" spans="2:5">
      <c r="B31" t="s">
        <v>79</v>
      </c>
      <c r="C31" s="12">
        <v>0</v>
      </c>
    </row>
    <row r="32" spans="2:5">
      <c r="B32" t="s">
        <v>75</v>
      </c>
      <c r="C32" s="12">
        <v>7500</v>
      </c>
    </row>
    <row r="33" spans="2:5">
      <c r="B33" s="4" t="s">
        <v>48</v>
      </c>
      <c r="C33" s="13">
        <f>SUM(C30:C32)</f>
        <v>7500</v>
      </c>
    </row>
    <row r="35" spans="2:5">
      <c r="B35" s="4" t="s">
        <v>45</v>
      </c>
      <c r="E35" t="s">
        <v>72</v>
      </c>
    </row>
    <row r="36" spans="2:5">
      <c r="B36" t="s">
        <v>34</v>
      </c>
      <c r="C36" s="12">
        <v>0</v>
      </c>
    </row>
    <row r="37" spans="2:5">
      <c r="B37" t="s">
        <v>79</v>
      </c>
      <c r="C37" s="12">
        <v>0</v>
      </c>
    </row>
    <row r="38" spans="2:5">
      <c r="B38" t="s">
        <v>44</v>
      </c>
      <c r="C38" s="12">
        <v>0</v>
      </c>
    </row>
    <row r="39" spans="2:5">
      <c r="B39" s="4" t="s">
        <v>47</v>
      </c>
      <c r="C39" s="13">
        <f>SUM(C36:C38)</f>
        <v>0</v>
      </c>
    </row>
    <row r="41" spans="2:5">
      <c r="B41" s="4" t="s">
        <v>46</v>
      </c>
      <c r="C41" s="13">
        <f>C15+C21+C27+C33</f>
        <v>107000</v>
      </c>
      <c r="E41" s="4" t="s">
        <v>49</v>
      </c>
    </row>
    <row r="42" spans="2:5">
      <c r="B42" t="s">
        <v>84</v>
      </c>
      <c r="C42" s="12">
        <f>C32+C26+C20+C14+C12</f>
        <v>107000</v>
      </c>
    </row>
    <row r="43" spans="2:5">
      <c r="B43" s="9" t="s">
        <v>100</v>
      </c>
      <c r="C43" s="12">
        <v>0</v>
      </c>
    </row>
  </sheetData>
  <customSheetViews>
    <customSheetView guid="{87C0874B-AEA8-1A40-A3DE-2C5A4E047180}">
      <selection activeCell="C10" sqref="C10"/>
    </customSheetView>
  </customSheetView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Option 1—50% Equity Loan</vt:lpstr>
      <vt:lpstr>Option 2—30% Equity Loan</vt:lpstr>
      <vt:lpstr>Option 3—100% from ASOR</vt:lpstr>
      <vt:lpstr>Option 4—Bank Loan</vt:lpstr>
    </vt:vector>
  </TitlesOfParts>
  <Company/>
  <LinksUpToDate>false</LinksUpToDate>
  <SharedDoc>true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Susan Ackerman</cp:lastModifiedBy>
  <dcterms:created xsi:type="dcterms:W3CDTF">2019-01-01T21:34:28Z</dcterms:created>
  <dcterms:modified xsi:type="dcterms:W3CDTF">2019-01-04T18:35:59Z</dcterms:modified>
</cp:coreProperties>
</file>