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thyvaughn/Desktop/April 2019 Spring board /pdfs for posting/"/>
    </mc:Choice>
  </mc:AlternateContent>
  <xr:revisionPtr revIDLastSave="0" documentId="13_ncr:1_{AED954D8-852C-C14F-A3C9-1FD227654BCC}" xr6:coauthVersionLast="36" xr6:coauthVersionMax="36" xr10:uidLastSave="{00000000-0000-0000-0000-000000000000}"/>
  <bookViews>
    <workbookView xWindow="780" yWindow="960" windowWidth="27640" windowHeight="16060" xr2:uid="{147ECD8C-94B8-F948-9263-BDA311756CA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J50" i="1" l="1"/>
  <c r="D44" i="1"/>
  <c r="F40" i="1"/>
  <c r="F44" i="1" s="1"/>
  <c r="E40" i="1"/>
  <c r="E44" i="1" s="1"/>
  <c r="E31" i="1"/>
  <c r="G31" i="1" s="1"/>
  <c r="J31" i="1" s="1"/>
  <c r="K31" i="1" s="1"/>
  <c r="D29" i="1"/>
  <c r="C29" i="1"/>
  <c r="I28" i="1"/>
  <c r="E28" i="1"/>
  <c r="G28" i="1" s="1"/>
  <c r="I27" i="1"/>
  <c r="H27" i="1"/>
  <c r="H29" i="1" s="1"/>
  <c r="F27" i="1"/>
  <c r="F29" i="1" s="1"/>
  <c r="G26" i="1"/>
  <c r="C25" i="1"/>
  <c r="G23" i="1"/>
  <c r="J23" i="1" s="1"/>
  <c r="K23" i="1" s="1"/>
  <c r="I22" i="1"/>
  <c r="G22" i="1"/>
  <c r="I20" i="1"/>
  <c r="G20" i="1"/>
  <c r="I17" i="1"/>
  <c r="H17" i="1"/>
  <c r="G17" i="1"/>
  <c r="I15" i="1"/>
  <c r="G15" i="1"/>
  <c r="I13" i="1"/>
  <c r="G13" i="1"/>
  <c r="D11" i="1"/>
  <c r="I10" i="1"/>
  <c r="H10" i="1"/>
  <c r="H11" i="1" s="1"/>
  <c r="F10" i="1"/>
  <c r="G10" i="1" s="1"/>
  <c r="I9" i="1"/>
  <c r="E9" i="1"/>
  <c r="E11" i="1" s="1"/>
  <c r="D7" i="1"/>
  <c r="I6" i="1"/>
  <c r="H6" i="1"/>
  <c r="H7" i="1" s="1"/>
  <c r="F6" i="1"/>
  <c r="G6" i="1" s="1"/>
  <c r="I5" i="1"/>
  <c r="E5" i="1"/>
  <c r="G5" i="1" s="1"/>
  <c r="I7" i="1" l="1"/>
  <c r="C33" i="1"/>
  <c r="C48" i="1" s="1"/>
  <c r="J28" i="1"/>
  <c r="K28" i="1" s="1"/>
  <c r="J20" i="1"/>
  <c r="K20" i="1" s="1"/>
  <c r="J13" i="1"/>
  <c r="K13" i="1" s="1"/>
  <c r="J15" i="1"/>
  <c r="K15" i="1" s="1"/>
  <c r="H25" i="1"/>
  <c r="H33" i="1" s="1"/>
  <c r="H48" i="1" s="1"/>
  <c r="D25" i="1"/>
  <c r="D33" i="1" s="1"/>
  <c r="D48" i="1" s="1"/>
  <c r="G9" i="1"/>
  <c r="J9" i="1" s="1"/>
  <c r="K9" i="1" s="1"/>
  <c r="I29" i="1"/>
  <c r="I11" i="1"/>
  <c r="I25" i="1" s="1"/>
  <c r="G27" i="1"/>
  <c r="G29" i="1" s="1"/>
  <c r="J22" i="1"/>
  <c r="K22" i="1" s="1"/>
  <c r="J10" i="1"/>
  <c r="K10" i="1" s="1"/>
  <c r="J17" i="1"/>
  <c r="K17" i="1" s="1"/>
  <c r="J6" i="1"/>
  <c r="K6" i="1" s="1"/>
  <c r="J5" i="1"/>
  <c r="G7" i="1"/>
  <c r="E7" i="1"/>
  <c r="E25" i="1" s="1"/>
  <c r="F11" i="1"/>
  <c r="E29" i="1"/>
  <c r="F7" i="1"/>
  <c r="J27" i="1" l="1"/>
  <c r="K27" i="1" s="1"/>
  <c r="J11" i="1"/>
  <c r="K11" i="1" s="1"/>
  <c r="G11" i="1"/>
  <c r="G25" i="1" s="1"/>
  <c r="G33" i="1" s="1"/>
  <c r="G48" i="1" s="1"/>
  <c r="I33" i="1"/>
  <c r="I48" i="1" s="1"/>
  <c r="E33" i="1"/>
  <c r="E48" i="1" s="1"/>
  <c r="J7" i="1"/>
  <c r="K5" i="1"/>
  <c r="J29" i="1"/>
  <c r="K29" i="1" s="1"/>
  <c r="F25" i="1"/>
  <c r="F33" i="1" s="1"/>
  <c r="F48" i="1" s="1"/>
  <c r="J25" i="1" l="1"/>
  <c r="K25" i="1" s="1"/>
  <c r="J33" i="1" l="1"/>
  <c r="J48" i="1" l="1"/>
  <c r="K33" i="1"/>
  <c r="K48" i="1" s="1"/>
</calcChain>
</file>

<file path=xl/sharedStrings.xml><?xml version="1.0" encoding="utf-8"?>
<sst xmlns="http://schemas.openxmlformats.org/spreadsheetml/2006/main" count="59" uniqueCount="56">
  <si>
    <t>EXHIBIT E - ASOR Net Investment Report 3/31/19</t>
  </si>
  <si>
    <t>Net investment report as of 03/31/2019 saved on 4/01/19at 10:10am by AGV (Reviewed 4/1/19 by HJM)</t>
  </si>
  <si>
    <t xml:space="preserve">ASOR </t>
    <phoneticPr fontId="3" type="noConversion"/>
  </si>
  <si>
    <t>FY18</t>
    <phoneticPr fontId="3" type="noConversion"/>
  </si>
  <si>
    <t>FY19</t>
  </si>
  <si>
    <t>Custom</t>
  </si>
  <si>
    <t>ASOR Fellowships:</t>
  </si>
  <si>
    <t>% Return</t>
  </si>
  <si>
    <t>Harris Fell. - Sequoia Fund</t>
  </si>
  <si>
    <t>Harris Fell. - Charles Schwab</t>
  </si>
  <si>
    <t>1)</t>
    <phoneticPr fontId="3" type="noConversion"/>
  </si>
  <si>
    <t>Total Harris Fellowship</t>
  </si>
  <si>
    <t>2)</t>
    <phoneticPr fontId="3" type="noConversion"/>
  </si>
  <si>
    <t>Total Platt Fellowship</t>
  </si>
  <si>
    <t>3)</t>
  </si>
  <si>
    <t>4)</t>
    <phoneticPr fontId="3" type="noConversion"/>
  </si>
  <si>
    <t>5)</t>
    <phoneticPr fontId="3" type="noConversion"/>
  </si>
  <si>
    <t>6)</t>
    <phoneticPr fontId="3" type="noConversion"/>
  </si>
  <si>
    <t>7)</t>
    <phoneticPr fontId="3" type="noConversion"/>
  </si>
  <si>
    <t>8)</t>
  </si>
  <si>
    <t>Dana Fund</t>
  </si>
  <si>
    <t>Total ASOR Fellowships</t>
  </si>
  <si>
    <t>ASOR Endowment:</t>
  </si>
  <si>
    <t>1)</t>
  </si>
  <si>
    <t>Total ASOR Endowment</t>
  </si>
  <si>
    <t>2)</t>
  </si>
  <si>
    <t>Citizens Savings</t>
    <phoneticPr fontId="3" type="noConversion"/>
  </si>
  <si>
    <t>BB&amp;T Checking</t>
  </si>
  <si>
    <t>TOTAL GENERAL FUND</t>
  </si>
  <si>
    <t>Citizens savings</t>
  </si>
  <si>
    <t xml:space="preserve"> GRAND TOTAL</t>
  </si>
  <si>
    <t>Temp. Restricted</t>
  </si>
  <si>
    <t xml:space="preserve">Publications OF </t>
  </si>
  <si>
    <t>Net Change</t>
  </si>
  <si>
    <t>Contrib</t>
  </si>
  <si>
    <t>Distrib</t>
  </si>
  <si>
    <t>Invest Rtn</t>
  </si>
  <si>
    <t>FY18</t>
  </si>
  <si>
    <t>Journals Escrow Account</t>
  </si>
  <si>
    <t>Carol and Eric Meyers</t>
  </si>
  <si>
    <t>Joe Seger Excavation</t>
  </si>
  <si>
    <t>Wright/Meyers Fund</t>
  </si>
  <si>
    <t>Platt Fellowship - Sequoia</t>
  </si>
  <si>
    <t>Platt Fell. - Schwab</t>
  </si>
  <si>
    <t>PE MacAllister</t>
  </si>
  <si>
    <t>Strange / Midkiff</t>
  </si>
  <si>
    <t>Citizens TR portion</t>
  </si>
  <si>
    <t>Schwab - TR portion</t>
  </si>
  <si>
    <t>Citizens  - CHI funds</t>
  </si>
  <si>
    <t>ASOR GF- Schwab</t>
  </si>
  <si>
    <t>Citizens Checking</t>
  </si>
  <si>
    <t>Nies - Citigroup (qrt)</t>
  </si>
  <si>
    <t>INVESTMENTS SUB</t>
  </si>
  <si>
    <t>Endowment - Schwab</t>
  </si>
  <si>
    <t>Endowment - Sequoia</t>
  </si>
  <si>
    <t>Bench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</si>
</sst>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10"/>
      <name val="Arial"/>
      <family val="2"/>
    </font>
    <font>
      <sz val="9"/>
      <color rgb="FF92D050"/>
      <name val="Arial"/>
      <family val="2"/>
    </font>
    <font>
      <sz val="9"/>
      <color rgb="FFC00000"/>
      <name val="Arial"/>
      <family val="2"/>
    </font>
    <font>
      <b/>
      <i/>
      <sz val="9"/>
      <name val="Arial"/>
      <family val="2"/>
    </font>
    <font>
      <sz val="9"/>
      <color indexed="10"/>
      <name val="Arial"/>
      <family val="2"/>
    </font>
    <font>
      <b/>
      <i/>
      <sz val="9"/>
      <color indexed="10"/>
      <name val="Arial"/>
      <family val="2"/>
    </font>
    <font>
      <sz val="9"/>
      <color theme="1"/>
      <name val="Arial"/>
      <family val="2"/>
    </font>
    <font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4" fontId="2" fillId="0" borderId="0" xfId="3" applyNumberFormat="1" applyFont="1"/>
    <xf numFmtId="44" fontId="3" fillId="0" borderId="2" xfId="2" applyFont="1" applyBorder="1"/>
    <xf numFmtId="164" fontId="3" fillId="0" borderId="9" xfId="3" applyNumberFormat="1" applyFont="1" applyBorder="1"/>
    <xf numFmtId="164" fontId="3" fillId="0" borderId="0" xfId="3" applyNumberFormat="1" applyFont="1" applyBorder="1"/>
    <xf numFmtId="44" fontId="4" fillId="0" borderId="0" xfId="2" applyFont="1"/>
    <xf numFmtId="44" fontId="3" fillId="0" borderId="0" xfId="2" applyFont="1"/>
    <xf numFmtId="44" fontId="5" fillId="0" borderId="2" xfId="2" applyFont="1" applyBorder="1"/>
    <xf numFmtId="44" fontId="6" fillId="0" borderId="3" xfId="2" applyFont="1" applyFill="1" applyBorder="1"/>
    <xf numFmtId="44" fontId="6" fillId="2" borderId="2" xfId="2" applyFont="1" applyFill="1" applyBorder="1"/>
    <xf numFmtId="44" fontId="4" fillId="0" borderId="0" xfId="2" applyFont="1" applyBorder="1"/>
    <xf numFmtId="44" fontId="4" fillId="0" borderId="2" xfId="2" applyFont="1" applyBorder="1"/>
    <xf numFmtId="44" fontId="2" fillId="0" borderId="0" xfId="2" applyFont="1" applyBorder="1"/>
    <xf numFmtId="164" fontId="2" fillId="0" borderId="2" xfId="1" applyNumberFormat="1" applyFont="1" applyBorder="1"/>
    <xf numFmtId="44" fontId="4" fillId="0" borderId="2" xfId="2" applyFont="1" applyFill="1" applyBorder="1"/>
    <xf numFmtId="164" fontId="3" fillId="0" borderId="2" xfId="1" applyNumberFormat="1" applyFont="1" applyBorder="1" applyAlignment="1">
      <alignment horizontal="center"/>
    </xf>
    <xf numFmtId="44" fontId="4" fillId="0" borderId="4" xfId="2" applyFont="1" applyBorder="1"/>
    <xf numFmtId="44" fontId="3" fillId="2" borderId="2" xfId="2" applyFont="1" applyFill="1" applyBorder="1" applyAlignment="1">
      <alignment horizontal="center"/>
    </xf>
    <xf numFmtId="44" fontId="3" fillId="0" borderId="2" xfId="2" applyFont="1" applyBorder="1" applyAlignment="1">
      <alignment horizontal="center"/>
    </xf>
    <xf numFmtId="164" fontId="3" fillId="0" borderId="0" xfId="3" applyNumberFormat="1" applyFont="1" applyBorder="1" applyAlignment="1">
      <alignment horizontal="center"/>
    </xf>
    <xf numFmtId="44" fontId="3" fillId="0" borderId="5" xfId="2" applyFont="1" applyBorder="1"/>
    <xf numFmtId="44" fontId="3" fillId="0" borderId="6" xfId="2" applyFont="1" applyBorder="1"/>
    <xf numFmtId="15" fontId="3" fillId="0" borderId="7" xfId="2" applyNumberFormat="1" applyFont="1" applyBorder="1"/>
    <xf numFmtId="15" fontId="3" fillId="0" borderId="8" xfId="2" applyNumberFormat="1" applyFont="1" applyFill="1" applyBorder="1"/>
    <xf numFmtId="15" fontId="3" fillId="2" borderId="7" xfId="2" applyNumberFormat="1" applyFont="1" applyFill="1" applyBorder="1"/>
    <xf numFmtId="15" fontId="3" fillId="2" borderId="7" xfId="2" applyNumberFormat="1" applyFont="1" applyFill="1" applyBorder="1" applyAlignment="1">
      <alignment horizontal="right"/>
    </xf>
    <xf numFmtId="15" fontId="3" fillId="0" borderId="9" xfId="2" applyNumberFormat="1" applyFont="1" applyBorder="1" applyAlignment="1">
      <alignment horizontal="center" vertical="center"/>
    </xf>
    <xf numFmtId="15" fontId="3" fillId="0" borderId="7" xfId="2" applyNumberFormat="1" applyFont="1" applyFill="1" applyBorder="1" applyAlignment="1">
      <alignment horizontal="center"/>
    </xf>
    <xf numFmtId="15" fontId="3" fillId="0" borderId="9" xfId="2" applyNumberFormat="1" applyFont="1" applyBorder="1" applyAlignment="1">
      <alignment horizontal="center"/>
    </xf>
    <xf numFmtId="44" fontId="3" fillId="0" borderId="7" xfId="2" applyFont="1" applyBorder="1" applyAlignment="1">
      <alignment horizontal="center"/>
    </xf>
    <xf numFmtId="164" fontId="3" fillId="0" borderId="7" xfId="1" applyNumberFormat="1" applyFont="1" applyBorder="1" applyAlignment="1">
      <alignment horizontal="center"/>
    </xf>
    <xf numFmtId="44" fontId="3" fillId="0" borderId="9" xfId="2" applyFont="1" applyBorder="1"/>
    <xf numFmtId="44" fontId="3" fillId="0" borderId="3" xfId="2" applyFont="1" applyFill="1" applyBorder="1"/>
    <xf numFmtId="44" fontId="3" fillId="2" borderId="2" xfId="2" applyFont="1" applyFill="1" applyBorder="1"/>
    <xf numFmtId="44" fontId="7" fillId="0" borderId="0" xfId="2" applyFont="1" applyBorder="1"/>
    <xf numFmtId="44" fontId="2" fillId="0" borderId="2" xfId="2" applyFont="1" applyBorder="1"/>
    <xf numFmtId="164" fontId="4" fillId="0" borderId="0" xfId="3" applyNumberFormat="1" applyFont="1"/>
    <xf numFmtId="44" fontId="4" fillId="0" borderId="10" xfId="2" applyFont="1" applyBorder="1"/>
    <xf numFmtId="44" fontId="6" fillId="0" borderId="11" xfId="2" applyFont="1" applyBorder="1"/>
    <xf numFmtId="44" fontId="8" fillId="0" borderId="12" xfId="2" applyFont="1" applyBorder="1"/>
    <xf numFmtId="44" fontId="2" fillId="0" borderId="10" xfId="2" applyFont="1" applyBorder="1"/>
    <xf numFmtId="44" fontId="2" fillId="0" borderId="12" xfId="2" applyFont="1" applyBorder="1"/>
    <xf numFmtId="164" fontId="4" fillId="0" borderId="10" xfId="3" applyNumberFormat="1" applyFont="1" applyBorder="1"/>
    <xf numFmtId="164" fontId="2" fillId="0" borderId="12" xfId="1" applyNumberFormat="1" applyFont="1" applyBorder="1"/>
    <xf numFmtId="44" fontId="6" fillId="0" borderId="3" xfId="2" applyFont="1" applyBorder="1"/>
    <xf numFmtId="44" fontId="3" fillId="0" borderId="14" xfId="2" applyFont="1" applyFill="1" applyBorder="1"/>
    <xf numFmtId="44" fontId="3" fillId="2" borderId="13" xfId="2" applyFont="1" applyFill="1" applyBorder="1"/>
    <xf numFmtId="44" fontId="3" fillId="0" borderId="15" xfId="2" applyFont="1" applyBorder="1"/>
    <xf numFmtId="44" fontId="3" fillId="0" borderId="0" xfId="2" applyFont="1" applyBorder="1"/>
    <xf numFmtId="164" fontId="3" fillId="0" borderId="0" xfId="3" applyNumberFormat="1" applyFont="1"/>
    <xf numFmtId="44" fontId="5" fillId="0" borderId="1" xfId="2" applyFont="1" applyBorder="1"/>
    <xf numFmtId="44" fontId="3" fillId="2" borderId="2" xfId="2" applyNumberFormat="1" applyFont="1" applyFill="1" applyBorder="1"/>
    <xf numFmtId="44" fontId="5" fillId="0" borderId="12" xfId="2" applyFont="1" applyBorder="1"/>
    <xf numFmtId="44" fontId="6" fillId="0" borderId="2" xfId="2" applyFont="1" applyBorder="1"/>
    <xf numFmtId="44" fontId="9" fillId="0" borderId="3" xfId="2" applyFont="1" applyFill="1" applyBorder="1"/>
    <xf numFmtId="44" fontId="9" fillId="2" borderId="2" xfId="2" applyFont="1" applyFill="1" applyBorder="1"/>
    <xf numFmtId="44" fontId="10" fillId="0" borderId="0" xfId="2" applyFont="1" applyBorder="1"/>
    <xf numFmtId="44" fontId="10" fillId="0" borderId="2" xfId="2" applyFont="1" applyBorder="1"/>
    <xf numFmtId="44" fontId="3" fillId="0" borderId="16" xfId="2" applyFont="1" applyBorder="1"/>
    <xf numFmtId="44" fontId="3" fillId="0" borderId="17" xfId="2" applyFont="1" applyBorder="1"/>
    <xf numFmtId="44" fontId="3" fillId="0" borderId="18" xfId="2" applyFont="1" applyFill="1" applyBorder="1"/>
    <xf numFmtId="44" fontId="3" fillId="2" borderId="17" xfId="2" applyFont="1" applyFill="1" applyBorder="1"/>
    <xf numFmtId="44" fontId="3" fillId="0" borderId="18" xfId="2" applyFont="1" applyBorder="1"/>
    <xf numFmtId="164" fontId="3" fillId="2" borderId="17" xfId="3" applyNumberFormat="1" applyFont="1" applyFill="1" applyBorder="1"/>
    <xf numFmtId="164" fontId="3" fillId="2" borderId="17" xfId="3" applyNumberFormat="1" applyFont="1" applyFill="1" applyBorder="1" applyAlignment="1">
      <alignment horizontal="center"/>
    </xf>
    <xf numFmtId="44" fontId="11" fillId="2" borderId="2" xfId="2" applyFont="1" applyFill="1" applyBorder="1"/>
    <xf numFmtId="44" fontId="12" fillId="0" borderId="2" xfId="2" applyFont="1" applyBorder="1"/>
    <xf numFmtId="164" fontId="2" fillId="0" borderId="2" xfId="1" applyNumberFormat="1" applyFont="1" applyBorder="1" applyAlignment="1">
      <alignment horizontal="center"/>
    </xf>
    <xf numFmtId="44" fontId="4" fillId="0" borderId="19" xfId="2" applyFont="1" applyBorder="1"/>
    <xf numFmtId="164" fontId="3" fillId="0" borderId="2" xfId="3" applyNumberFormat="1" applyFont="1" applyBorder="1"/>
    <xf numFmtId="44" fontId="3" fillId="0" borderId="20" xfId="2" applyFont="1" applyBorder="1"/>
    <xf numFmtId="44" fontId="3" fillId="0" borderId="20" xfId="2" applyFont="1" applyFill="1" applyBorder="1"/>
    <xf numFmtId="44" fontId="3" fillId="0" borderId="13" xfId="2" applyFont="1" applyBorder="1"/>
    <xf numFmtId="44" fontId="3" fillId="0" borderId="14" xfId="2" applyFont="1" applyBorder="1"/>
    <xf numFmtId="164" fontId="3" fillId="3" borderId="14" xfId="3" applyNumberFormat="1" applyFont="1" applyFill="1" applyBorder="1"/>
    <xf numFmtId="164" fontId="3" fillId="2" borderId="13" xfId="3" applyNumberFormat="1" applyFont="1" applyFill="1" applyBorder="1" applyAlignment="1">
      <alignment horizontal="center"/>
    </xf>
    <xf numFmtId="164" fontId="3" fillId="0" borderId="0" xfId="3" applyNumberFormat="1" applyFont="1" applyFill="1" applyBorder="1"/>
    <xf numFmtId="44" fontId="3" fillId="0" borderId="21" xfId="2" applyFont="1" applyBorder="1"/>
    <xf numFmtId="44" fontId="3" fillId="0" borderId="23" xfId="2" applyFont="1" applyBorder="1"/>
    <xf numFmtId="44" fontId="3" fillId="0" borderId="24" xfId="2" applyFont="1" applyFill="1" applyBorder="1"/>
    <xf numFmtId="44" fontId="3" fillId="2" borderId="23" xfId="2" applyFont="1" applyFill="1" applyBorder="1"/>
    <xf numFmtId="164" fontId="3" fillId="3" borderId="23" xfId="3" applyNumberFormat="1" applyFont="1" applyFill="1" applyBorder="1"/>
    <xf numFmtId="164" fontId="3" fillId="2" borderId="23" xfId="3" applyNumberFormat="1" applyFont="1" applyFill="1" applyBorder="1" applyAlignment="1">
      <alignment horizontal="center"/>
    </xf>
    <xf numFmtId="44" fontId="11" fillId="0" borderId="3" xfId="2" applyFont="1" applyFill="1" applyBorder="1"/>
    <xf numFmtId="164" fontId="3" fillId="0" borderId="2" xfId="1" applyNumberFormat="1" applyFont="1" applyBorder="1"/>
    <xf numFmtId="44" fontId="2" fillId="0" borderId="0" xfId="2" applyFont="1"/>
    <xf numFmtId="44" fontId="3" fillId="2" borderId="12" xfId="2" applyFont="1" applyFill="1" applyBorder="1"/>
    <xf numFmtId="44" fontId="13" fillId="0" borderId="2" xfId="2" applyFont="1" applyBorder="1"/>
    <xf numFmtId="44" fontId="3" fillId="0" borderId="22" xfId="2" applyFont="1" applyBorder="1"/>
    <xf numFmtId="164" fontId="3" fillId="0" borderId="21" xfId="3" applyNumberFormat="1" applyFont="1" applyBorder="1"/>
    <xf numFmtId="164" fontId="3" fillId="0" borderId="23" xfId="1" applyNumberFormat="1" applyFont="1" applyBorder="1"/>
    <xf numFmtId="44" fontId="4" fillId="0" borderId="21" xfId="2" applyFont="1" applyBorder="1"/>
    <xf numFmtId="164" fontId="3" fillId="0" borderId="22" xfId="3" applyNumberFormat="1" applyFont="1" applyBorder="1"/>
    <xf numFmtId="164" fontId="2" fillId="0" borderId="23" xfId="1" applyNumberFormat="1" applyFont="1" applyBorder="1"/>
    <xf numFmtId="44" fontId="6" fillId="0" borderId="0" xfId="2" applyFon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5C3DE-4816-5746-9BC3-4283C164AC2D}">
  <dimension ref="A1:L50"/>
  <sheetViews>
    <sheetView tabSelected="1" workbookViewId="0">
      <selection activeCell="L24" sqref="L24"/>
    </sheetView>
  </sheetViews>
  <sheetFormatPr baseColWidth="10" defaultColWidth="9.1640625" defaultRowHeight="12" x14ac:dyDescent="0.15"/>
  <cols>
    <col min="1" max="1" width="3.33203125" style="5" customWidth="1"/>
    <col min="2" max="2" width="18.83203125" style="5" customWidth="1"/>
    <col min="3" max="3" width="11.6640625" style="7" customWidth="1"/>
    <col min="4" max="4" width="12.33203125" style="8" customWidth="1"/>
    <col min="5" max="5" width="12" style="9" customWidth="1"/>
    <col min="6" max="6" width="12.1640625" style="9" customWidth="1"/>
    <col min="7" max="7" width="10.83203125" style="10" customWidth="1"/>
    <col min="8" max="8" width="10.33203125" style="11" customWidth="1"/>
    <col min="9" max="9" width="11" style="12" customWidth="1"/>
    <col min="10" max="10" width="9.6640625" style="2" customWidth="1"/>
    <col min="11" max="11" width="7.6640625" style="1" customWidth="1"/>
    <col min="12" max="12" width="7.33203125" style="13" customWidth="1"/>
    <col min="13" max="16384" width="9.1640625" style="5"/>
  </cols>
  <sheetData>
    <row r="1" spans="1:12" x14ac:dyDescent="0.15">
      <c r="B1" s="6" t="s">
        <v>0</v>
      </c>
    </row>
    <row r="2" spans="1:12" x14ac:dyDescent="0.15">
      <c r="B2" s="10" t="s">
        <v>1</v>
      </c>
      <c r="H2" s="14"/>
      <c r="L2" s="15" t="s">
        <v>2</v>
      </c>
    </row>
    <row r="3" spans="1:12" s="10" customFormat="1" ht="13" thickBot="1" x14ac:dyDescent="0.2">
      <c r="B3" s="16"/>
      <c r="C3" s="7"/>
      <c r="D3" s="8"/>
      <c r="E3" s="17" t="s">
        <v>3</v>
      </c>
      <c r="F3" s="17" t="s">
        <v>4</v>
      </c>
      <c r="H3" s="11"/>
      <c r="I3" s="12"/>
      <c r="J3" s="18" t="s">
        <v>4</v>
      </c>
      <c r="K3" s="19" t="s">
        <v>37</v>
      </c>
      <c r="L3" s="15" t="s">
        <v>5</v>
      </c>
    </row>
    <row r="4" spans="1:12" s="31" customFormat="1" ht="18" customHeight="1" thickTop="1" thickBot="1" x14ac:dyDescent="0.2">
      <c r="A4" s="20" t="s">
        <v>6</v>
      </c>
      <c r="B4" s="21"/>
      <c r="C4" s="22">
        <v>38898</v>
      </c>
      <c r="D4" s="23">
        <v>41820</v>
      </c>
      <c r="E4" s="24">
        <v>43281</v>
      </c>
      <c r="F4" s="25">
        <v>43555</v>
      </c>
      <c r="G4" s="26" t="s">
        <v>33</v>
      </c>
      <c r="H4" s="27" t="s">
        <v>34</v>
      </c>
      <c r="I4" s="28" t="s">
        <v>35</v>
      </c>
      <c r="J4" s="29" t="s">
        <v>36</v>
      </c>
      <c r="K4" s="3" t="s">
        <v>7</v>
      </c>
      <c r="L4" s="30" t="s">
        <v>55</v>
      </c>
    </row>
    <row r="5" spans="1:12" ht="13" thickTop="1" x14ac:dyDescent="0.15">
      <c r="B5" s="5" t="s">
        <v>8</v>
      </c>
      <c r="C5" s="7">
        <v>107880.5</v>
      </c>
      <c r="D5" s="32">
        <v>69945.119999999995</v>
      </c>
      <c r="E5" s="33">
        <f>180.73*75.358</f>
        <v>13619.45134</v>
      </c>
      <c r="F5" s="33">
        <v>0</v>
      </c>
      <c r="G5" s="12">
        <f>F5-E5</f>
        <v>-13619.45134</v>
      </c>
      <c r="I5" s="34">
        <f>2488.91+11304.45</f>
        <v>13793.36</v>
      </c>
      <c r="J5" s="35">
        <f>G5-H5+I5</f>
        <v>173.90866000000096</v>
      </c>
      <c r="K5" s="36">
        <f>J5/E5</f>
        <v>1.2769138466630843E-2</v>
      </c>
    </row>
    <row r="6" spans="1:12" s="37" customFormat="1" x14ac:dyDescent="0.15">
      <c r="B6" s="37" t="s">
        <v>9</v>
      </c>
      <c r="C6" s="38"/>
      <c r="D6" s="32">
        <v>81499.7</v>
      </c>
      <c r="E6" s="33">
        <v>130901.36</v>
      </c>
      <c r="F6" s="33">
        <f>129240.04+11304.45</f>
        <v>140544.49</v>
      </c>
      <c r="G6" s="12">
        <f>F6-E6</f>
        <v>9643.1299999999901</v>
      </c>
      <c r="H6" s="39">
        <f>2488.91+11304.45</f>
        <v>13793.36</v>
      </c>
      <c r="I6" s="40">
        <f>1723+1728+1723</f>
        <v>5174</v>
      </c>
      <c r="J6" s="41">
        <f>G6-H6+I6</f>
        <v>1023.7699999999895</v>
      </c>
      <c r="K6" s="42">
        <f>J6/E6</f>
        <v>7.8209271469753226E-3</v>
      </c>
      <c r="L6" s="43"/>
    </row>
    <row r="7" spans="1:12" s="6" customFormat="1" x14ac:dyDescent="0.15">
      <c r="A7" s="6" t="s">
        <v>10</v>
      </c>
      <c r="B7" s="6" t="s">
        <v>11</v>
      </c>
      <c r="C7" s="44"/>
      <c r="D7" s="45">
        <f t="shared" ref="D7:E7" si="0">SUM(D5:D6)</f>
        <v>151444.82</v>
      </c>
      <c r="E7" s="46">
        <f t="shared" si="0"/>
        <v>144520.81134000001</v>
      </c>
      <c r="F7" s="46">
        <f>SUM(F5:F6)</f>
        <v>140544.49</v>
      </c>
      <c r="G7" s="47">
        <f t="shared" ref="G7:J7" si="1">SUM(G5:G6)</f>
        <v>-3976.3213400000095</v>
      </c>
      <c r="H7" s="2">
        <f t="shared" si="1"/>
        <v>13793.36</v>
      </c>
      <c r="I7" s="48">
        <f t="shared" si="1"/>
        <v>18967.36</v>
      </c>
      <c r="J7" s="2">
        <f t="shared" si="1"/>
        <v>1197.6786599999905</v>
      </c>
      <c r="K7" s="49">
        <f>J7/E7</f>
        <v>8.2872400790937207E-3</v>
      </c>
      <c r="L7" s="13">
        <v>2.9000000000000001E-2</v>
      </c>
    </row>
    <row r="8" spans="1:12" s="6" customFormat="1" x14ac:dyDescent="0.15">
      <c r="C8" s="94"/>
      <c r="D8" s="32"/>
      <c r="E8" s="33"/>
      <c r="F8" s="33"/>
      <c r="G8" s="48"/>
      <c r="H8" s="2"/>
      <c r="I8" s="48"/>
      <c r="J8" s="2"/>
      <c r="K8" s="49"/>
      <c r="L8" s="13"/>
    </row>
    <row r="9" spans="1:12" x14ac:dyDescent="0.15">
      <c r="B9" s="5" t="s">
        <v>42</v>
      </c>
      <c r="C9" s="50">
        <v>243337.69</v>
      </c>
      <c r="D9" s="32">
        <v>131126.49</v>
      </c>
      <c r="E9" s="51">
        <f>142.477*180.73</f>
        <v>25749.868210000001</v>
      </c>
      <c r="F9" s="51">
        <v>0</v>
      </c>
      <c r="G9" s="12">
        <f>F9-E9</f>
        <v>-25749.868210000001</v>
      </c>
      <c r="H9" s="11">
        <v>0</v>
      </c>
      <c r="I9" s="34">
        <f>4705.7+21372.97</f>
        <v>26078.670000000002</v>
      </c>
      <c r="J9" s="35">
        <f>G9-H9+I9</f>
        <v>328.80179000000135</v>
      </c>
      <c r="K9" s="36">
        <f>J9/E9</f>
        <v>1.2769066906226366E-2</v>
      </c>
    </row>
    <row r="10" spans="1:12" s="37" customFormat="1" x14ac:dyDescent="0.15">
      <c r="B10" s="37" t="s">
        <v>43</v>
      </c>
      <c r="C10" s="52"/>
      <c r="D10" s="32">
        <v>153306.35999999999</v>
      </c>
      <c r="E10" s="33">
        <v>235289.69</v>
      </c>
      <c r="F10" s="33">
        <f>230330.9+21372.97</f>
        <v>251703.87</v>
      </c>
      <c r="G10" s="12">
        <f>F10-E10</f>
        <v>16414.179999999993</v>
      </c>
      <c r="H10" s="39">
        <f>4705.7+21372.97</f>
        <v>26078.670000000002</v>
      </c>
      <c r="I10" s="40">
        <f>3783+3788+3744</f>
        <v>11315</v>
      </c>
      <c r="J10" s="41">
        <f>G10-H10+I10</f>
        <v>1650.5099999999911</v>
      </c>
      <c r="K10" s="42">
        <f>J10/E10</f>
        <v>7.0147995009895723E-3</v>
      </c>
      <c r="L10" s="43"/>
    </row>
    <row r="11" spans="1:12" s="6" customFormat="1" x14ac:dyDescent="0.15">
      <c r="A11" s="6" t="s">
        <v>12</v>
      </c>
      <c r="B11" s="6" t="s">
        <v>13</v>
      </c>
      <c r="C11" s="2"/>
      <c r="D11" s="45">
        <f t="shared" ref="D11:E11" si="2">SUM(D9:D10)</f>
        <v>284432.84999999998</v>
      </c>
      <c r="E11" s="46">
        <f t="shared" si="2"/>
        <v>261039.55820999999</v>
      </c>
      <c r="F11" s="46">
        <f>SUM(F9:F10)</f>
        <v>251703.87</v>
      </c>
      <c r="G11" s="47">
        <f t="shared" ref="G11:J11" si="3">SUM(G9:G10)</f>
        <v>-9335.6882100000075</v>
      </c>
      <c r="H11" s="2">
        <f>SUM(H9:H10)</f>
        <v>26078.670000000002</v>
      </c>
      <c r="I11" s="48">
        <f t="shared" si="3"/>
        <v>37393.67</v>
      </c>
      <c r="J11" s="2">
        <f t="shared" si="3"/>
        <v>1979.3117899999925</v>
      </c>
      <c r="K11" s="49">
        <f>J11/E11</f>
        <v>7.582420854419636E-3</v>
      </c>
      <c r="L11" s="13">
        <v>2.9000000000000001E-2</v>
      </c>
    </row>
    <row r="12" spans="1:12" s="6" customFormat="1" x14ac:dyDescent="0.15">
      <c r="C12" s="2"/>
      <c r="D12" s="32"/>
      <c r="E12" s="33"/>
      <c r="F12" s="33"/>
      <c r="G12" s="48"/>
      <c r="H12" s="2"/>
      <c r="I12" s="48"/>
      <c r="J12" s="2"/>
      <c r="K12" s="49"/>
      <c r="L12" s="13"/>
    </row>
    <row r="13" spans="1:12" s="6" customFormat="1" x14ac:dyDescent="0.15">
      <c r="A13" s="6" t="s">
        <v>14</v>
      </c>
      <c r="B13" s="6" t="s">
        <v>41</v>
      </c>
      <c r="C13" s="2">
        <v>34391.75</v>
      </c>
      <c r="D13" s="32">
        <v>83230.039999999994</v>
      </c>
      <c r="E13" s="33">
        <v>87489.7</v>
      </c>
      <c r="F13" s="33">
        <v>84921.79</v>
      </c>
      <c r="G13" s="12">
        <f>F13-E13</f>
        <v>-2567.9100000000035</v>
      </c>
      <c r="H13" s="2"/>
      <c r="I13" s="48">
        <f>1025+1025+1040</f>
        <v>3090</v>
      </c>
      <c r="J13" s="2">
        <f>G13-H13+I13</f>
        <v>522.08999999999651</v>
      </c>
      <c r="K13" s="49">
        <f>J13/E13</f>
        <v>5.9674453107051058E-3</v>
      </c>
      <c r="L13" s="13">
        <v>2.9000000000000001E-2</v>
      </c>
    </row>
    <row r="14" spans="1:12" s="6" customFormat="1" x14ac:dyDescent="0.15">
      <c r="C14" s="2"/>
      <c r="D14" s="32"/>
      <c r="E14" s="33"/>
      <c r="F14" s="33"/>
      <c r="G14" s="12"/>
      <c r="H14" s="2"/>
      <c r="I14" s="48"/>
      <c r="J14" s="2"/>
      <c r="K14" s="49"/>
      <c r="L14" s="13"/>
    </row>
    <row r="15" spans="1:12" s="6" customFormat="1" x14ac:dyDescent="0.15">
      <c r="A15" s="6" t="s">
        <v>15</v>
      </c>
      <c r="B15" s="6" t="s">
        <v>44</v>
      </c>
      <c r="C15" s="2"/>
      <c r="D15" s="32">
        <v>112470.84</v>
      </c>
      <c r="E15" s="33">
        <v>151210.68</v>
      </c>
      <c r="F15" s="33">
        <v>148426.26999999999</v>
      </c>
      <c r="G15" s="12">
        <f>F15-E15</f>
        <v>-2784.4100000000035</v>
      </c>
      <c r="H15" s="2"/>
      <c r="I15" s="48">
        <f>1696+1741+1757</f>
        <v>5194</v>
      </c>
      <c r="J15" s="2">
        <f>G15-H15+I15</f>
        <v>2409.5899999999965</v>
      </c>
      <c r="K15" s="49">
        <f>J15/E15</f>
        <v>1.5935316209146053E-2</v>
      </c>
      <c r="L15" s="13">
        <v>2.9000000000000001E-2</v>
      </c>
    </row>
    <row r="16" spans="1:12" s="6" customFormat="1" x14ac:dyDescent="0.15">
      <c r="C16" s="2"/>
      <c r="D16" s="32"/>
      <c r="E16" s="33"/>
      <c r="F16" s="33"/>
      <c r="G16" s="12"/>
      <c r="H16" s="2"/>
      <c r="I16" s="48"/>
      <c r="J16" s="2"/>
      <c r="K16" s="49"/>
      <c r="L16" s="13"/>
    </row>
    <row r="17" spans="1:12" s="6" customFormat="1" x14ac:dyDescent="0.15">
      <c r="A17" s="6" t="s">
        <v>16</v>
      </c>
      <c r="B17" s="6" t="s">
        <v>45</v>
      </c>
      <c r="C17" s="2"/>
      <c r="D17" s="32">
        <v>30950.05</v>
      </c>
      <c r="E17" s="33">
        <v>117801.18</v>
      </c>
      <c r="F17" s="33">
        <v>117063.36</v>
      </c>
      <c r="G17" s="12">
        <f>F17-E17</f>
        <v>-737.81999999999243</v>
      </c>
      <c r="H17" s="35">
        <f>100+50</f>
        <v>150</v>
      </c>
      <c r="I17" s="48">
        <f>1013+1055+1108</f>
        <v>3176</v>
      </c>
      <c r="J17" s="2">
        <f>G17-H17+I17</f>
        <v>2288.1800000000076</v>
      </c>
      <c r="K17" s="49">
        <f>J17/E17</f>
        <v>1.9424083867411242E-2</v>
      </c>
      <c r="L17" s="13">
        <v>2.9000000000000001E-2</v>
      </c>
    </row>
    <row r="18" spans="1:12" s="6" customFormat="1" x14ac:dyDescent="0.15">
      <c r="C18" s="2"/>
      <c r="D18" s="32"/>
      <c r="E18" s="33"/>
      <c r="F18" s="33"/>
      <c r="G18" s="12"/>
      <c r="H18" s="35"/>
      <c r="I18" s="48"/>
      <c r="J18" s="2"/>
      <c r="K18" s="49"/>
      <c r="L18" s="13"/>
    </row>
    <row r="19" spans="1:12" s="6" customFormat="1" x14ac:dyDescent="0.15">
      <c r="C19" s="2"/>
      <c r="D19" s="32"/>
      <c r="E19" s="33"/>
      <c r="F19" s="33"/>
      <c r="G19" s="12"/>
      <c r="H19" s="35"/>
      <c r="I19" s="48"/>
      <c r="J19" s="2"/>
      <c r="K19" s="49"/>
      <c r="L19" s="13"/>
    </row>
    <row r="20" spans="1:12" s="6" customFormat="1" x14ac:dyDescent="0.15">
      <c r="A20" s="6" t="s">
        <v>17</v>
      </c>
      <c r="B20" s="6" t="s">
        <v>39</v>
      </c>
      <c r="C20" s="2"/>
      <c r="D20" s="32">
        <v>7000</v>
      </c>
      <c r="E20" s="33">
        <v>160539.82999999999</v>
      </c>
      <c r="F20" s="33">
        <v>166058.9</v>
      </c>
      <c r="G20" s="12">
        <f>F20-E20</f>
        <v>5519.070000000007</v>
      </c>
      <c r="H20" s="35">
        <v>7000</v>
      </c>
      <c r="I20" s="48">
        <f>1401+1527+1606</f>
        <v>4534</v>
      </c>
      <c r="J20" s="2">
        <f>G20-H20+I20</f>
        <v>3053.070000000007</v>
      </c>
      <c r="K20" s="49">
        <f>J20/E20</f>
        <v>1.901752356409003E-2</v>
      </c>
      <c r="L20" s="13">
        <v>2.9000000000000001E-2</v>
      </c>
    </row>
    <row r="21" spans="1:12" s="6" customFormat="1" x14ac:dyDescent="0.15">
      <c r="C21" s="2"/>
      <c r="D21" s="32"/>
      <c r="E21" s="33"/>
      <c r="F21" s="33"/>
      <c r="G21" s="12"/>
      <c r="H21" s="35"/>
      <c r="I21" s="48"/>
      <c r="J21" s="2"/>
      <c r="K21" s="49"/>
      <c r="L21" s="13"/>
    </row>
    <row r="22" spans="1:12" s="6" customFormat="1" x14ac:dyDescent="0.15">
      <c r="A22" s="6" t="s">
        <v>18</v>
      </c>
      <c r="B22" s="6" t="s">
        <v>40</v>
      </c>
      <c r="C22" s="2"/>
      <c r="D22" s="32"/>
      <c r="E22" s="33">
        <v>63028.01</v>
      </c>
      <c r="F22" s="33">
        <v>61824.61</v>
      </c>
      <c r="G22" s="12">
        <f>F22-E22</f>
        <v>-1203.4000000000015</v>
      </c>
      <c r="H22" s="2"/>
      <c r="I22" s="48">
        <f>715+725+723</f>
        <v>2163</v>
      </c>
      <c r="J22" s="2">
        <f>G22-H22+I22</f>
        <v>959.59999999999854</v>
      </c>
      <c r="K22" s="49">
        <f>J22/E22</f>
        <v>1.5224976958656929E-2</v>
      </c>
      <c r="L22" s="13">
        <v>2.9000000000000001E-2</v>
      </c>
    </row>
    <row r="23" spans="1:12" s="6" customFormat="1" x14ac:dyDescent="0.15">
      <c r="A23" s="6" t="s">
        <v>19</v>
      </c>
      <c r="B23" s="6" t="s">
        <v>20</v>
      </c>
      <c r="C23" s="2"/>
      <c r="D23" s="32"/>
      <c r="E23" s="33">
        <v>0</v>
      </c>
      <c r="F23" s="33">
        <v>100484.78</v>
      </c>
      <c r="G23" s="12">
        <f>F23-E23</f>
        <v>100484.78</v>
      </c>
      <c r="H23" s="2">
        <v>98483.22</v>
      </c>
      <c r="I23" s="48"/>
      <c r="J23" s="2">
        <f t="shared" ref="J23" si="4">G23-H23+I23</f>
        <v>2001.5599999999977</v>
      </c>
      <c r="K23" s="49">
        <f>J23/98483.22</f>
        <v>2.0323868370672665E-2</v>
      </c>
      <c r="L23" s="13">
        <v>2.9000000000000001E-2</v>
      </c>
    </row>
    <row r="24" spans="1:12" x14ac:dyDescent="0.15">
      <c r="C24" s="53"/>
      <c r="D24" s="54"/>
      <c r="E24" s="55"/>
      <c r="F24" s="55"/>
      <c r="G24" s="56"/>
      <c r="H24" s="57"/>
      <c r="K24" s="36"/>
    </row>
    <row r="25" spans="1:12" s="58" customFormat="1" ht="13" thickBot="1" x14ac:dyDescent="0.2">
      <c r="B25" s="58" t="s">
        <v>21</v>
      </c>
      <c r="C25" s="59">
        <f>SUM(C5:C24)</f>
        <v>385609.94</v>
      </c>
      <c r="D25" s="60">
        <f>D7+D11+D13+D15+D17+D20</f>
        <v>669528.6</v>
      </c>
      <c r="E25" s="61">
        <f>E22+E20+E17+E15+E13+E11+E7</f>
        <v>985629.76955000008</v>
      </c>
      <c r="F25" s="61">
        <f>F23+F22+F20+F17+F15+F13+F11+F7</f>
        <v>1071028.07</v>
      </c>
      <c r="G25" s="58">
        <f>G7+G11+G13+G15+G17+G20+G22+G23</f>
        <v>85398.300449999981</v>
      </c>
      <c r="H25" s="62">
        <f>H7+H11+H13+H15+H17+H20+H22+H23</f>
        <v>145505.25</v>
      </c>
      <c r="I25" s="62">
        <f>I7+I11+I13+I15+I17+I20+I22+I23</f>
        <v>74518.03</v>
      </c>
      <c r="J25" s="62">
        <f>J7+J11+J13+J15+J17+J20+J22+J23</f>
        <v>14411.080449999987</v>
      </c>
      <c r="K25" s="63">
        <f>J25/E25</f>
        <v>1.4621190324415142E-2</v>
      </c>
      <c r="L25" s="64">
        <v>2.9000000000000001E-2</v>
      </c>
    </row>
    <row r="26" spans="1:12" s="48" customFormat="1" ht="14" thickTop="1" thickBot="1" x14ac:dyDescent="0.2">
      <c r="A26" s="20" t="s">
        <v>22</v>
      </c>
      <c r="B26" s="21"/>
      <c r="C26" s="2"/>
      <c r="D26" s="54"/>
      <c r="E26" s="65"/>
      <c r="F26" s="65"/>
      <c r="G26" s="48">
        <f>F26-E26</f>
        <v>0</v>
      </c>
      <c r="H26" s="2"/>
      <c r="J26" s="2"/>
      <c r="K26" s="4"/>
      <c r="L26" s="15"/>
    </row>
    <row r="27" spans="1:12" ht="13" thickTop="1" x14ac:dyDescent="0.15">
      <c r="A27" s="5" t="s">
        <v>23</v>
      </c>
      <c r="B27" s="5" t="s">
        <v>53</v>
      </c>
      <c r="C27" s="7">
        <v>210866.85</v>
      </c>
      <c r="D27" s="32">
        <v>461561.33</v>
      </c>
      <c r="E27" s="33">
        <v>759174.06</v>
      </c>
      <c r="F27" s="33">
        <f>758197.62+45516.33</f>
        <v>803713.95</v>
      </c>
      <c r="G27" s="66">
        <f>F27-E27</f>
        <v>44539.889999999898</v>
      </c>
      <c r="H27" s="12">
        <f>10021.36+45516.33</f>
        <v>55537.69</v>
      </c>
      <c r="I27" s="11">
        <f>13019+6601</f>
        <v>19620</v>
      </c>
      <c r="J27" s="2">
        <f>G27-H27+I27</f>
        <v>8622.1999999998952</v>
      </c>
      <c r="K27" s="49">
        <f>J27/E27</f>
        <v>1.1357342741663085E-2</v>
      </c>
      <c r="L27" s="67"/>
    </row>
    <row r="28" spans="1:12" x14ac:dyDescent="0.15">
      <c r="B28" s="68" t="s">
        <v>54</v>
      </c>
      <c r="C28" s="50">
        <v>118222.79</v>
      </c>
      <c r="D28" s="32">
        <v>192396.83</v>
      </c>
      <c r="E28" s="33">
        <f>180.73*303.422</f>
        <v>54837.458060000004</v>
      </c>
      <c r="F28" s="33">
        <v>0</v>
      </c>
      <c r="G28" s="11">
        <f>F28-E28</f>
        <v>-54837.458060000004</v>
      </c>
      <c r="H28" s="34"/>
      <c r="I28" s="35">
        <f>10021.36+45516.33</f>
        <v>55537.69</v>
      </c>
      <c r="J28" s="2">
        <f>G28-H28+I28</f>
        <v>700.23193999999785</v>
      </c>
      <c r="K28" s="69">
        <f>J28/E28</f>
        <v>1.276922681634594E-2</v>
      </c>
      <c r="L28" s="67"/>
    </row>
    <row r="29" spans="1:12" s="70" customFormat="1" x14ac:dyDescent="0.15">
      <c r="B29" s="48" t="s">
        <v>24</v>
      </c>
      <c r="C29" s="70">
        <f>SUM(C27:C28)</f>
        <v>329089.64</v>
      </c>
      <c r="D29" s="71">
        <f t="shared" ref="D29:E29" si="5">SUM(D27:D28)</f>
        <v>653958.16</v>
      </c>
      <c r="E29" s="46">
        <f t="shared" si="5"/>
        <v>814011.51806000003</v>
      </c>
      <c r="F29" s="46">
        <f>SUM(F27:F28)</f>
        <v>803713.95</v>
      </c>
      <c r="G29" s="72">
        <f t="shared" ref="G29:J29" si="6">SUM(G27:G28)</f>
        <v>-10297.568060000107</v>
      </c>
      <c r="H29" s="70">
        <f t="shared" si="6"/>
        <v>55537.69</v>
      </c>
      <c r="I29" s="73">
        <f t="shared" si="6"/>
        <v>75157.69</v>
      </c>
      <c r="J29" s="73">
        <f t="shared" si="6"/>
        <v>9322.4319399998931</v>
      </c>
      <c r="K29" s="74">
        <f>J29/E29</f>
        <v>1.1452457039204628E-2</v>
      </c>
      <c r="L29" s="75">
        <v>2.9000000000000001E-2</v>
      </c>
    </row>
    <row r="30" spans="1:12" x14ac:dyDescent="0.15">
      <c r="C30" s="53"/>
      <c r="D30" s="54"/>
      <c r="E30" s="65"/>
      <c r="F30" s="65"/>
      <c r="G30" s="56"/>
      <c r="H30" s="57"/>
      <c r="K30" s="36"/>
      <c r="L30" s="67"/>
    </row>
    <row r="31" spans="1:12" s="6" customFormat="1" x14ac:dyDescent="0.15">
      <c r="B31" s="6" t="s">
        <v>32</v>
      </c>
      <c r="C31" s="2">
        <v>86851.8</v>
      </c>
      <c r="D31" s="32">
        <v>100251.09</v>
      </c>
      <c r="E31" s="33">
        <f>122804.23-7500</f>
        <v>115304.23</v>
      </c>
      <c r="F31" s="33">
        <v>119911.58</v>
      </c>
      <c r="G31" s="12">
        <f>F31-E31</f>
        <v>4607.3500000000058</v>
      </c>
      <c r="H31" s="35"/>
      <c r="I31" s="12"/>
      <c r="J31" s="2">
        <f>G31</f>
        <v>4607.3500000000058</v>
      </c>
      <c r="K31" s="49">
        <f>J31/E31</f>
        <v>3.995820448217733E-2</v>
      </c>
      <c r="L31" s="67">
        <v>2.9000000000000001E-2</v>
      </c>
    </row>
    <row r="32" spans="1:12" s="48" customFormat="1" ht="13" thickBot="1" x14ac:dyDescent="0.2">
      <c r="C32" s="2"/>
      <c r="D32" s="54"/>
      <c r="E32" s="55"/>
      <c r="F32" s="55"/>
      <c r="H32" s="2"/>
      <c r="J32" s="2"/>
      <c r="K32" s="76"/>
      <c r="L32" s="15"/>
    </row>
    <row r="33" spans="1:12" s="77" customFormat="1" ht="13" thickBot="1" x14ac:dyDescent="0.2">
      <c r="B33" s="77" t="s">
        <v>52</v>
      </c>
      <c r="C33" s="78">
        <f>C25+C29+C31</f>
        <v>801551.38000000012</v>
      </c>
      <c r="D33" s="79">
        <f>D29+D25+D31</f>
        <v>1423737.85</v>
      </c>
      <c r="E33" s="80">
        <f t="shared" ref="E33:J33" si="7">E25+E29+E31</f>
        <v>1914945.51761</v>
      </c>
      <c r="F33" s="80">
        <f t="shared" si="7"/>
        <v>1994653.6</v>
      </c>
      <c r="G33" s="80">
        <f t="shared" si="7"/>
        <v>79708.08238999988</v>
      </c>
      <c r="H33" s="80">
        <f t="shared" si="7"/>
        <v>201042.94</v>
      </c>
      <c r="I33" s="80">
        <f t="shared" si="7"/>
        <v>149675.72</v>
      </c>
      <c r="J33" s="80">
        <f t="shared" si="7"/>
        <v>28340.862389999886</v>
      </c>
      <c r="K33" s="81">
        <f>J33/E33</f>
        <v>1.4799827007805147E-2</v>
      </c>
      <c r="L33" s="82">
        <v>2.9000000000000001E-2</v>
      </c>
    </row>
    <row r="34" spans="1:12" s="48" customFormat="1" x14ac:dyDescent="0.15">
      <c r="C34" s="53"/>
      <c r="D34" s="83"/>
      <c r="E34" s="65"/>
      <c r="F34" s="65"/>
      <c r="G34" s="56"/>
      <c r="H34" s="57"/>
      <c r="I34" s="12"/>
      <c r="J34" s="2"/>
      <c r="K34" s="4"/>
      <c r="L34" s="84"/>
    </row>
    <row r="35" spans="1:12" s="6" customFormat="1" x14ac:dyDescent="0.15">
      <c r="A35" s="85" t="s">
        <v>23</v>
      </c>
      <c r="B35" s="6" t="s">
        <v>31</v>
      </c>
      <c r="C35" s="2">
        <v>117910.89</v>
      </c>
      <c r="D35" s="8"/>
      <c r="E35" s="9"/>
      <c r="F35" s="9"/>
      <c r="G35" s="10"/>
      <c r="H35" s="35"/>
      <c r="I35" s="12"/>
      <c r="J35" s="35"/>
      <c r="K35" s="1"/>
      <c r="L35" s="84"/>
    </row>
    <row r="36" spans="1:12" s="6" customFormat="1" x14ac:dyDescent="0.15">
      <c r="A36" s="85"/>
      <c r="B36" s="6" t="s">
        <v>46</v>
      </c>
      <c r="C36" s="2"/>
      <c r="D36" s="32">
        <v>197864.99</v>
      </c>
      <c r="E36" s="33">
        <v>0</v>
      </c>
      <c r="F36" s="33"/>
      <c r="G36" s="10"/>
      <c r="H36" s="35"/>
      <c r="I36" s="12"/>
      <c r="J36" s="35"/>
      <c r="K36" s="1"/>
      <c r="L36" s="84"/>
    </row>
    <row r="37" spans="1:12" s="6" customFormat="1" x14ac:dyDescent="0.15">
      <c r="A37" s="85"/>
      <c r="B37" s="6" t="s">
        <v>47</v>
      </c>
      <c r="C37" s="2"/>
      <c r="D37" s="32"/>
      <c r="E37" s="33">
        <v>325087.88</v>
      </c>
      <c r="F37" s="33">
        <v>677613.88</v>
      </c>
      <c r="G37" s="10"/>
      <c r="H37" s="35"/>
      <c r="I37" s="12"/>
      <c r="J37" s="35"/>
      <c r="K37" s="1"/>
      <c r="L37" s="84"/>
    </row>
    <row r="38" spans="1:12" s="6" customFormat="1" x14ac:dyDescent="0.15">
      <c r="A38" s="85"/>
      <c r="B38" s="6" t="s">
        <v>48</v>
      </c>
      <c r="C38" s="2"/>
      <c r="D38" s="32"/>
      <c r="E38" s="33">
        <v>0</v>
      </c>
      <c r="F38" s="33"/>
      <c r="G38" s="12"/>
      <c r="H38" s="35"/>
      <c r="I38" s="12"/>
      <c r="J38" s="57"/>
      <c r="K38" s="1"/>
      <c r="L38" s="84"/>
    </row>
    <row r="39" spans="1:12" x14ac:dyDescent="0.15">
      <c r="D39" s="32"/>
      <c r="G39" s="12"/>
      <c r="J39" s="53"/>
    </row>
    <row r="40" spans="1:12" s="48" customFormat="1" x14ac:dyDescent="0.15">
      <c r="A40" s="12" t="s">
        <v>25</v>
      </c>
      <c r="B40" s="48" t="s">
        <v>49</v>
      </c>
      <c r="C40" s="2">
        <v>40933.339999999997</v>
      </c>
      <c r="D40" s="32">
        <v>115145</v>
      </c>
      <c r="E40" s="33">
        <f>1044605.59+7500-E37</f>
        <v>727017.70999999985</v>
      </c>
      <c r="F40" s="33">
        <f>1320104.37-F37</f>
        <v>642490.49000000011</v>
      </c>
      <c r="G40" s="12"/>
      <c r="H40" s="35"/>
      <c r="I40" s="12"/>
      <c r="J40" s="35"/>
      <c r="K40" s="1"/>
      <c r="L40" s="84"/>
    </row>
    <row r="41" spans="1:12" s="48" customFormat="1" x14ac:dyDescent="0.15">
      <c r="A41" s="12"/>
      <c r="B41" s="48" t="s">
        <v>26</v>
      </c>
      <c r="C41" s="2"/>
      <c r="D41" s="32">
        <v>353298.73</v>
      </c>
      <c r="E41" s="33">
        <v>3792.35</v>
      </c>
      <c r="F41" s="33"/>
      <c r="G41" s="12"/>
      <c r="H41" s="35"/>
      <c r="I41" s="12"/>
      <c r="J41" s="35"/>
      <c r="K41" s="1"/>
      <c r="L41" s="84"/>
    </row>
    <row r="42" spans="1:12" s="48" customFormat="1" x14ac:dyDescent="0.15">
      <c r="A42" s="12"/>
      <c r="B42" s="48" t="s">
        <v>27</v>
      </c>
      <c r="C42" s="2"/>
      <c r="D42" s="32"/>
      <c r="E42" s="33"/>
      <c r="F42" s="33">
        <v>3340</v>
      </c>
      <c r="G42" s="12"/>
      <c r="H42" s="35"/>
      <c r="I42" s="12"/>
      <c r="J42" s="35"/>
      <c r="K42" s="1"/>
      <c r="L42" s="84"/>
    </row>
    <row r="43" spans="1:12" s="10" customFormat="1" x14ac:dyDescent="0.15">
      <c r="B43" s="48" t="s">
        <v>50</v>
      </c>
      <c r="C43" s="2">
        <v>843</v>
      </c>
      <c r="D43" s="32">
        <v>7050.34</v>
      </c>
      <c r="E43" s="86">
        <v>85169.17</v>
      </c>
      <c r="F43" s="86">
        <v>13225.39</v>
      </c>
      <c r="H43" s="35"/>
      <c r="I43" s="12"/>
      <c r="J43" s="35"/>
      <c r="K43" s="1"/>
      <c r="L43" s="13"/>
    </row>
    <row r="44" spans="1:12" s="48" customFormat="1" x14ac:dyDescent="0.15">
      <c r="A44" s="12"/>
      <c r="B44" s="48" t="s">
        <v>28</v>
      </c>
      <c r="C44" s="2"/>
      <c r="D44" s="45">
        <f t="shared" ref="D44" si="8">SUM(D40:D43)</f>
        <v>475494.07</v>
      </c>
      <c r="E44" s="33">
        <f>SUM(E40:E43)</f>
        <v>815979.22999999986</v>
      </c>
      <c r="F44" s="33">
        <f>SUM(F40:F43)</f>
        <v>659055.88000000012</v>
      </c>
      <c r="G44" s="12"/>
      <c r="H44" s="35"/>
      <c r="I44" s="12"/>
      <c r="J44" s="57"/>
      <c r="K44" s="1"/>
      <c r="L44" s="84"/>
    </row>
    <row r="45" spans="1:12" x14ac:dyDescent="0.15">
      <c r="E45" s="33"/>
      <c r="F45" s="33"/>
      <c r="J45" s="53"/>
    </row>
    <row r="46" spans="1:12" s="10" customFormat="1" ht="13" x14ac:dyDescent="0.15">
      <c r="A46" s="10" t="s">
        <v>14</v>
      </c>
      <c r="B46" s="48" t="s">
        <v>38</v>
      </c>
      <c r="C46" s="2">
        <v>131151.76999999999</v>
      </c>
      <c r="D46" s="8"/>
      <c r="E46" s="33"/>
      <c r="F46" s="33"/>
      <c r="H46" s="87"/>
      <c r="I46" s="12"/>
      <c r="J46" s="35"/>
      <c r="K46" s="1"/>
      <c r="L46" s="13"/>
    </row>
    <row r="47" spans="1:12" s="10" customFormat="1" ht="13" thickBot="1" x14ac:dyDescent="0.2">
      <c r="B47" s="48" t="s">
        <v>29</v>
      </c>
      <c r="C47" s="2"/>
      <c r="D47" s="8"/>
      <c r="E47" s="33"/>
      <c r="F47" s="33"/>
      <c r="H47" s="35"/>
      <c r="I47" s="12"/>
      <c r="J47" s="35"/>
      <c r="K47" s="1"/>
      <c r="L47" s="13"/>
    </row>
    <row r="48" spans="1:12" s="77" customFormat="1" ht="13" thickBot="1" x14ac:dyDescent="0.2">
      <c r="B48" s="77" t="s">
        <v>30</v>
      </c>
      <c r="C48" s="78">
        <f>C40+C35+C33+C46+C43</f>
        <v>1092390.3800000001</v>
      </c>
      <c r="D48" s="79">
        <f>D44+D36+D33</f>
        <v>2097096.9100000001</v>
      </c>
      <c r="E48" s="80">
        <f>E44+E36+E33</f>
        <v>2730924.74761</v>
      </c>
      <c r="F48" s="80">
        <f>F44+F36+F33</f>
        <v>2653709.4800000004</v>
      </c>
      <c r="G48" s="88">
        <f>G33</f>
        <v>79708.08238999988</v>
      </c>
      <c r="H48" s="78">
        <f>H33</f>
        <v>201042.94</v>
      </c>
      <c r="I48" s="78">
        <f>I33</f>
        <v>149675.72</v>
      </c>
      <c r="J48" s="78">
        <f>J33</f>
        <v>28340.862389999886</v>
      </c>
      <c r="K48" s="89">
        <f>K33</f>
        <v>1.4799827007805147E-2</v>
      </c>
      <c r="L48" s="90"/>
    </row>
    <row r="49" spans="2:12" s="48" customFormat="1" ht="13" thickBot="1" x14ac:dyDescent="0.2">
      <c r="C49" s="2"/>
      <c r="D49" s="32"/>
      <c r="E49" s="9"/>
      <c r="F49" s="9"/>
      <c r="H49" s="2"/>
      <c r="J49" s="2"/>
      <c r="K49" s="4"/>
      <c r="L49" s="84"/>
    </row>
    <row r="50" spans="2:12" s="91" customFormat="1" ht="13" thickBot="1" x14ac:dyDescent="0.2">
      <c r="B50" s="77" t="s">
        <v>51</v>
      </c>
      <c r="C50" s="78">
        <v>445045</v>
      </c>
      <c r="D50" s="79">
        <v>506506.59</v>
      </c>
      <c r="E50" s="80">
        <v>521276.84</v>
      </c>
      <c r="F50" s="80"/>
      <c r="G50" s="77"/>
      <c r="H50" s="78"/>
      <c r="I50" s="77">
        <v>19161.62</v>
      </c>
      <c r="J50" s="78">
        <f>G50-H50+I50</f>
        <v>19161.62</v>
      </c>
      <c r="K50" s="92"/>
      <c r="L50" s="93"/>
    </row>
  </sheetData>
  <pageMargins left="0.2" right="0.2" top="0.25" bottom="0.25" header="0" footer="0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2019-04-02T12:40:54Z</dcterms:created>
  <dcterms:modified xsi:type="dcterms:W3CDTF">2019-04-02T14:54:31Z</dcterms:modified>
</cp:coreProperties>
</file>