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athyvaughn/Desktop/spring 2018 board materials/"/>
    </mc:Choice>
  </mc:AlternateContent>
  <xr:revisionPtr revIDLastSave="0" documentId="8_{C434840A-8B2E-0942-AC61-20025D4338B2}" xr6:coauthVersionLast="31" xr6:coauthVersionMax="31" xr10:uidLastSave="{00000000-0000-0000-0000-000000000000}"/>
  <bookViews>
    <workbookView xWindow="2860" yWindow="460" windowWidth="25600" windowHeight="16060" tabRatio="500" activeTab="1" xr2:uid="{00000000-000D-0000-FFFF-FFFF00000000}"/>
  </bookViews>
  <sheets>
    <sheet name="Sheet1" sheetId="1" r:id="rId1"/>
    <sheet name="without notes" sheetId="2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7" i="2" l="1"/>
  <c r="J93" i="2"/>
  <c r="F85" i="2"/>
  <c r="F82" i="2"/>
  <c r="F60" i="2"/>
  <c r="F81" i="2"/>
  <c r="F9" i="2"/>
  <c r="F46" i="2" s="1"/>
  <c r="F54" i="2"/>
  <c r="F55" i="2"/>
  <c r="F56" i="2"/>
  <c r="F57" i="2"/>
  <c r="F13" i="2"/>
  <c r="F58" i="2" s="1"/>
  <c r="E60" i="2"/>
  <c r="E81" i="2"/>
  <c r="E17" i="2"/>
  <c r="E13" i="2"/>
  <c r="E9" i="2"/>
  <c r="F22" i="2"/>
  <c r="E35" i="2"/>
  <c r="E14" i="2"/>
  <c r="E46" i="2" s="1"/>
  <c r="E103" i="2" s="1"/>
  <c r="E18" i="2"/>
  <c r="E54" i="2"/>
  <c r="E101" i="2" s="1"/>
  <c r="E55" i="2"/>
  <c r="E56" i="2"/>
  <c r="E57" i="2"/>
  <c r="E58" i="2"/>
  <c r="E62" i="2"/>
  <c r="E75" i="2"/>
  <c r="D17" i="2"/>
  <c r="D46" i="2" s="1"/>
  <c r="D18" i="2"/>
  <c r="D52" i="2"/>
  <c r="D101" i="2" s="1"/>
  <c r="D54" i="2"/>
  <c r="D55" i="2"/>
  <c r="D56" i="2"/>
  <c r="D57" i="2"/>
  <c r="D58" i="2"/>
  <c r="D60" i="2"/>
  <c r="D61" i="2"/>
  <c r="D62" i="2"/>
  <c r="D82" i="2"/>
  <c r="D97" i="2"/>
  <c r="B58" i="2"/>
  <c r="B57" i="2"/>
  <c r="B56" i="2"/>
  <c r="B55" i="2"/>
  <c r="B54" i="2"/>
  <c r="E113" i="1"/>
  <c r="E101" i="1"/>
  <c r="E73" i="1"/>
  <c r="E25" i="1"/>
  <c r="E58" i="1" s="1"/>
  <c r="E135" i="1" s="1"/>
  <c r="E19" i="1"/>
  <c r="E16" i="1"/>
  <c r="E67" i="1"/>
  <c r="E133" i="1" s="1"/>
  <c r="E68" i="1"/>
  <c r="E69" i="1"/>
  <c r="E70" i="1"/>
  <c r="E71" i="1"/>
  <c r="E83" i="1"/>
  <c r="D19" i="1"/>
  <c r="D58" i="1" s="1"/>
  <c r="D21" i="1"/>
  <c r="D22" i="1"/>
  <c r="D23" i="1"/>
  <c r="D77" i="1" s="1"/>
  <c r="D24" i="1"/>
  <c r="D78" i="1" s="1"/>
  <c r="D25" i="1"/>
  <c r="D64" i="1"/>
  <c r="D67" i="1"/>
  <c r="D68" i="1"/>
  <c r="D69" i="1"/>
  <c r="D70" i="1"/>
  <c r="D71" i="1"/>
  <c r="D73" i="1"/>
  <c r="D74" i="1"/>
  <c r="D75" i="1"/>
  <c r="D76" i="1"/>
  <c r="D79" i="1"/>
  <c r="D81" i="1"/>
  <c r="D82" i="1"/>
  <c r="D83" i="1"/>
  <c r="D110" i="1"/>
  <c r="D126" i="1"/>
  <c r="B81" i="1"/>
  <c r="B79" i="1"/>
  <c r="B78" i="1"/>
  <c r="B77" i="1"/>
  <c r="B76" i="1"/>
  <c r="B75" i="1"/>
  <c r="B71" i="1"/>
  <c r="B70" i="1"/>
  <c r="B69" i="1"/>
  <c r="B68" i="1"/>
  <c r="B67" i="1"/>
  <c r="F101" i="2" l="1"/>
  <c r="F103" i="2"/>
  <c r="D133" i="1"/>
  <c r="D135" i="1" s="1"/>
  <c r="D103" i="2"/>
</calcChain>
</file>

<file path=xl/sharedStrings.xml><?xml version="1.0" encoding="utf-8"?>
<sst xmlns="http://schemas.openxmlformats.org/spreadsheetml/2006/main" count="215" uniqueCount="125">
  <si>
    <t xml:space="preserve">      -Fellowships for members (e.g., travel to collections; Dever Fellowship)</t>
  </si>
  <si>
    <t xml:space="preserve">      -Support for Online Media and FOA TR Releases </t>
    <phoneticPr fontId="2" type="noConversion"/>
  </si>
  <si>
    <t xml:space="preserve">      -Nies Trust income</t>
  </si>
  <si>
    <t xml:space="preserve">Cultural Heritage Initiatives (CHI) </t>
  </si>
  <si>
    <t xml:space="preserve">      -CHI revenue for continuing ASOR staff salaries</t>
    <phoneticPr fontId="2" type="noConversion"/>
  </si>
  <si>
    <t xml:space="preserve">      -CHI employees (DOS and other foundation projects)</t>
  </si>
  <si>
    <t xml:space="preserve">      -CHI travel expenses (DOS and other grants)</t>
  </si>
  <si>
    <t xml:space="preserve">      -CHI equipment and/or rent</t>
  </si>
  <si>
    <t xml:space="preserve">      -CHI contractors (DOS and Whiting and GCI)</t>
  </si>
  <si>
    <t xml:space="preserve">      -CHI revenue for supplies and other</t>
    <phoneticPr fontId="2" type="noConversion"/>
  </si>
  <si>
    <t xml:space="preserve">      -CHI designated revenue and grants (e.g. Arches)</t>
  </si>
  <si>
    <t xml:space="preserve">      -Money set aside for CHI audit</t>
    <phoneticPr fontId="2" type="noConversion"/>
  </si>
  <si>
    <t xml:space="preserve">  Journals/Memberships:</t>
    <phoneticPr fontId="2" type="noConversion"/>
  </si>
  <si>
    <t xml:space="preserve">      -Subscriptions/memberships</t>
  </si>
  <si>
    <t xml:space="preserve">      -Royalties and advertising</t>
  </si>
  <si>
    <t xml:space="preserve">      -Support from OF and gifts</t>
  </si>
  <si>
    <t xml:space="preserve">      -Other Journal Support</t>
    <phoneticPr fontId="2" type="noConversion"/>
  </si>
  <si>
    <t xml:space="preserve">  Books:</t>
  </si>
  <si>
    <t xml:space="preserve">      -Funds from Opportunity Fund</t>
  </si>
  <si>
    <t xml:space="preserve">      -Sales revenue designated for Opportunity Fund</t>
  </si>
  <si>
    <t xml:space="preserve">     - Book subventions</t>
  </si>
  <si>
    <t xml:space="preserve">  Undesignated Revenue:</t>
  </si>
  <si>
    <t xml:space="preserve">      -Annual fund contributions</t>
  </si>
  <si>
    <t xml:space="preserve">      -Institutional memberships</t>
  </si>
  <si>
    <t xml:space="preserve">      -Distribution from Endowment</t>
  </si>
  <si>
    <t xml:space="preserve">      -Investment income</t>
  </si>
  <si>
    <t xml:space="preserve">      -Administrative fees and misc. income</t>
  </si>
  <si>
    <t xml:space="preserve">  Other Designated Revenue:</t>
  </si>
  <si>
    <t xml:space="preserve">      -Designated gifts for Endowment</t>
  </si>
  <si>
    <t xml:space="preserve">      -Other designated gifts</t>
  </si>
  <si>
    <t xml:space="preserve">      -Development Fund and designated gifts</t>
    <phoneticPr fontId="2" type="noConversion"/>
  </si>
  <si>
    <t xml:space="preserve">      -NEH Summit</t>
    <phoneticPr fontId="2" type="noConversion"/>
  </si>
  <si>
    <t xml:space="preserve">  In-kind Donations:</t>
  </si>
  <si>
    <t xml:space="preserve">      -Rent subvention from BU</t>
  </si>
  <si>
    <t xml:space="preserve">      -Other In kind, including legal</t>
  </si>
  <si>
    <t xml:space="preserve">  Total Income</t>
  </si>
  <si>
    <t>Expenses:</t>
  </si>
  <si>
    <t xml:space="preserve">      -Annual meeting expenses</t>
  </si>
  <si>
    <t xml:space="preserve">      -Other Educational Events</t>
    <phoneticPr fontId="2" type="noConversion"/>
  </si>
  <si>
    <t xml:space="preserve">      -Campaign Support for Online Digital Media Resources</t>
  </si>
  <si>
    <t xml:space="preserve">      -Nies Trust expenses</t>
  </si>
  <si>
    <t xml:space="preserve">     -New employees for CHI projects (DOS and other foundations)</t>
  </si>
  <si>
    <t xml:space="preserve">     -Contingency for CHI office and non-direct expenses</t>
  </si>
  <si>
    <t xml:space="preserve">     -Money set aside for audit</t>
  </si>
  <si>
    <t>FY18  Budget</t>
    <phoneticPr fontId="2" type="noConversion"/>
  </si>
  <si>
    <t>Income:</t>
  </si>
  <si>
    <t xml:space="preserve">  Annual Meeting:</t>
  </si>
  <si>
    <t xml:space="preserve">      -Registration fees and other income</t>
  </si>
  <si>
    <t xml:space="preserve">      -Other educational events (conservation workshop)</t>
  </si>
  <si>
    <t xml:space="preserve">  Archaeological and Policy Support:</t>
  </si>
  <si>
    <t xml:space="preserve">      -Fellowships for Dig Scholarships (Heritage, Platt, membership etc. distribution)</t>
  </si>
  <si>
    <t xml:space="preserve">      -Fellowships funds placed in endowment (e.g., MacAllister, Strange/Midkiff, Meyers)</t>
  </si>
  <si>
    <t xml:space="preserve">      -Field Research Support Awarded (Harris and Seger distribution)</t>
    <phoneticPr fontId="2" type="noConversion"/>
  </si>
  <si>
    <t xml:space="preserve">      -Field Research funds placed in endowment (Harris, Seger, Geraty)</t>
  </si>
  <si>
    <t xml:space="preserve">     -Chair support (moved from allocable exp.)</t>
  </si>
  <si>
    <t xml:space="preserve">     -Travel for arch. Support</t>
    <phoneticPr fontId="2" type="noConversion"/>
  </si>
  <si>
    <t xml:space="preserve">     -Meetings (moved from allocable exp.)</t>
  </si>
  <si>
    <t xml:space="preserve">     -NEH summit</t>
    <phoneticPr fontId="2" type="noConversion"/>
  </si>
  <si>
    <t xml:space="preserve">     -Website (moved from allocable exp.)</t>
  </si>
  <si>
    <t xml:space="preserve">     -Presidential discretionary expenses</t>
  </si>
  <si>
    <t xml:space="preserve">  Archives Project:</t>
  </si>
  <si>
    <t xml:space="preserve">      -Consultant and travel</t>
  </si>
  <si>
    <t xml:space="preserve">      -Supplies and services</t>
  </si>
  <si>
    <t xml:space="preserve">  Journals/Memberships:</t>
    <phoneticPr fontId="2" type="noConversion"/>
  </si>
  <si>
    <t xml:space="preserve">      -BASOR (2 issues per year)</t>
  </si>
  <si>
    <t xml:space="preserve">      -NEA (4 issues per year)</t>
  </si>
  <si>
    <t xml:space="preserve">      -JCS (ASOR portion)</t>
  </si>
  <si>
    <t xml:space="preserve">      -JCS (Nies Trust portion)</t>
  </si>
  <si>
    <t xml:space="preserve">      -JSTOR</t>
  </si>
  <si>
    <t xml:space="preserve">      -Other journal expenses</t>
  </si>
  <si>
    <t xml:space="preserve">      -Membership, FOA &amp; Informz expenses</t>
  </si>
  <si>
    <t xml:space="preserve">      -Book production</t>
  </si>
  <si>
    <t xml:space="preserve">      -Transfer of book revenue to Opportunity Fund</t>
  </si>
  <si>
    <t xml:space="preserve">  Other Designated Expense:</t>
  </si>
  <si>
    <t xml:space="preserve">  Allocable Expenses:</t>
  </si>
  <si>
    <t xml:space="preserve">      -Salaries and benefits</t>
  </si>
  <si>
    <t xml:space="preserve">      -Rent expense for ASOR office</t>
  </si>
  <si>
    <t xml:space="preserve">     - Moving Expenses</t>
    <phoneticPr fontId="2" type="noConversion"/>
  </si>
  <si>
    <t xml:space="preserve">      -Telephone and Utilities</t>
  </si>
  <si>
    <t xml:space="preserve">      -Postage, Postage mach. and Copier</t>
  </si>
  <si>
    <t xml:space="preserve">      -Bank charges</t>
  </si>
  <si>
    <t xml:space="preserve">      -Insurance</t>
  </si>
  <si>
    <t xml:space="preserve">      -Audit</t>
  </si>
  <si>
    <t xml:space="preserve">      -Equipment and supplies (incl. computers)</t>
  </si>
  <si>
    <t xml:space="preserve">      -Avectra expenses</t>
  </si>
  <si>
    <t xml:space="preserve">      -Office events, Jibrin, Payroll services, consulting</t>
  </si>
  <si>
    <t xml:space="preserve">      -Dues, etc.</t>
  </si>
  <si>
    <t xml:space="preserve">      -Travel</t>
  </si>
  <si>
    <t xml:space="preserve">       -Other in kind, including legal </t>
  </si>
  <si>
    <t xml:space="preserve">      -Development</t>
  </si>
  <si>
    <t xml:space="preserve">      -Depreciation</t>
  </si>
  <si>
    <t xml:space="preserve">      -Bad Debts</t>
  </si>
  <si>
    <t>Misc Expense</t>
  </si>
  <si>
    <t>Fixed Assets</t>
  </si>
  <si>
    <t xml:space="preserve">  Total Expenses</t>
  </si>
  <si>
    <t xml:space="preserve">                 Total</t>
  </si>
  <si>
    <t>FY18  Forecast</t>
    <phoneticPr fontId="2" type="noConversion"/>
  </si>
  <si>
    <t xml:space="preserve">      -CHI revenue for indirect costs (will be used for some ASOR staff and digital media)</t>
    <phoneticPr fontId="2" type="noConversion"/>
  </si>
  <si>
    <t xml:space="preserve">      -CHI other direct costs (CHM)</t>
    <phoneticPr fontId="2" type="noConversion"/>
  </si>
  <si>
    <t>(only 11K left in TR at the beginning of the FY18); added $10,000 for Norma Kershaw</t>
  </si>
  <si>
    <t>Andy DOS $27,150 July - April; number listed is Andy's salary for 12 months</t>
  </si>
  <si>
    <t>$300K DOS; $37K Whiting; no number listed for forecast because in/out</t>
  </si>
  <si>
    <t>$3000 GCI + $20,000 Arches + DOS + ; no number listed for forecast because in/out</t>
  </si>
  <si>
    <t>no number listed for forecast because in/out</t>
  </si>
  <si>
    <t>$183,400 DOS +150,500 Whiting; no number listed for forecast because in/out</t>
  </si>
  <si>
    <t>$2500 GCI + 2000 DOS; no number listed for forecast because in/out</t>
  </si>
  <si>
    <t>used $113K from DOS and $10K Whiting</t>
  </si>
  <si>
    <t>$54,000 DOS; no number listed for forecast because in/out</t>
  </si>
  <si>
    <t>may need to move up estimate</t>
  </si>
  <si>
    <t>this is a $2K deficit in Nies TR account</t>
  </si>
  <si>
    <t>Selma needs to check; this will be chair support plus $10K for LCP</t>
  </si>
  <si>
    <t>May need to revisit based on Andy's travel</t>
  </si>
  <si>
    <t>Includes Jared so $10K taken out of salary forecast</t>
  </si>
  <si>
    <t>includes consulting work by Mitch Allen</t>
  </si>
  <si>
    <t>NEA has been lower past few years</t>
  </si>
  <si>
    <t>$22K for Jared listed in website</t>
  </si>
  <si>
    <t>Selma may need to check in January</t>
  </si>
  <si>
    <t>this is $110K net positive on annual meeting</t>
  </si>
  <si>
    <t xml:space="preserve">      -Interest income</t>
  </si>
  <si>
    <t>FY19 Budget</t>
  </si>
  <si>
    <t xml:space="preserve">      -Rent subvention (VTS)</t>
  </si>
  <si>
    <t xml:space="preserve">  Allocable Expenses</t>
  </si>
  <si>
    <t xml:space="preserve">      -Use of prior year unrestricted for relocation and severance</t>
  </si>
  <si>
    <t xml:space="preserve">     - Moving Expenses (includes severance and relocation costs)</t>
  </si>
  <si>
    <t>EXHIBIT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</si>
</sst>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/d/yy\ h:mm\ AM/PM;@"/>
  </numFmts>
  <fonts count="1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17"/>
      <name val="Arial"/>
      <family val="2"/>
    </font>
    <font>
      <b/>
      <sz val="10"/>
      <color indexed="10"/>
      <name val="Verdana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b/>
      <sz val="8"/>
      <color rgb="FF008000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8"/>
      <color indexed="17"/>
      <name val="Arial"/>
      <family val="2"/>
    </font>
    <font>
      <b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164" fontId="3" fillId="0" borderId="0" xfId="0" applyNumberFormat="1" applyFont="1"/>
    <xf numFmtId="44" fontId="3" fillId="0" borderId="0" xfId="0" applyNumberFormat="1" applyFont="1"/>
    <xf numFmtId="44" fontId="3" fillId="0" borderId="0" xfId="0" applyNumberFormat="1" applyFont="1" applyBorder="1"/>
    <xf numFmtId="44" fontId="3" fillId="0" borderId="6" xfId="0" applyNumberFormat="1" applyFont="1" applyBorder="1"/>
    <xf numFmtId="0" fontId="4" fillId="0" borderId="0" xfId="0" applyFont="1"/>
    <xf numFmtId="37" fontId="3" fillId="0" borderId="0" xfId="0" applyNumberFormat="1" applyFont="1"/>
    <xf numFmtId="0" fontId="5" fillId="0" borderId="2" xfId="0" applyFont="1" applyBorder="1" applyAlignment="1">
      <alignment horizontal="center"/>
    </xf>
    <xf numFmtId="37" fontId="6" fillId="0" borderId="1" xfId="0" applyNumberFormat="1" applyFont="1" applyBorder="1"/>
    <xf numFmtId="37" fontId="6" fillId="0" borderId="0" xfId="0" applyNumberFormat="1" applyFont="1"/>
    <xf numFmtId="37" fontId="6" fillId="2" borderId="0" xfId="0" applyNumberFormat="1" applyFont="1" applyFill="1"/>
    <xf numFmtId="44" fontId="3" fillId="2" borderId="0" xfId="0" applyNumberFormat="1" applyFont="1" applyFill="1" applyBorder="1"/>
    <xf numFmtId="0" fontId="7" fillId="0" borderId="0" xfId="0" applyFont="1"/>
    <xf numFmtId="44" fontId="3" fillId="2" borderId="0" xfId="0" applyNumberFormat="1" applyFont="1" applyFill="1"/>
    <xf numFmtId="37" fontId="6" fillId="0" borderId="0" xfId="0" applyNumberFormat="1" applyFont="1" applyFill="1"/>
    <xf numFmtId="44" fontId="3" fillId="0" borderId="0" xfId="0" applyNumberFormat="1" applyFont="1" applyFill="1" applyBorder="1"/>
    <xf numFmtId="37" fontId="6" fillId="3" borderId="0" xfId="0" applyNumberFormat="1" applyFont="1" applyFill="1"/>
    <xf numFmtId="44" fontId="3" fillId="3" borderId="0" xfId="0" applyNumberFormat="1" applyFont="1" applyFill="1"/>
    <xf numFmtId="44" fontId="3" fillId="3" borderId="0" xfId="0" applyNumberFormat="1" applyFont="1" applyFill="1" applyBorder="1"/>
    <xf numFmtId="0" fontId="8" fillId="0" borderId="0" xfId="0" applyFont="1"/>
    <xf numFmtId="44" fontId="9" fillId="0" borderId="0" xfId="0" applyNumberFormat="1" applyFont="1"/>
    <xf numFmtId="44" fontId="7" fillId="0" borderId="0" xfId="0" applyNumberFormat="1" applyFont="1"/>
    <xf numFmtId="44" fontId="10" fillId="0" borderId="0" xfId="0" applyNumberFormat="1" applyFont="1"/>
    <xf numFmtId="44" fontId="10" fillId="0" borderId="0" xfId="0" applyNumberFormat="1" applyFont="1" applyFill="1"/>
    <xf numFmtId="44" fontId="3" fillId="4" borderId="0" xfId="0" applyNumberFormat="1" applyFont="1" applyFill="1"/>
    <xf numFmtId="0" fontId="1" fillId="0" borderId="0" xfId="0" applyFont="1" applyBorder="1"/>
    <xf numFmtId="44" fontId="6" fillId="0" borderId="3" xfId="0" applyNumberFormat="1" applyFont="1" applyBorder="1"/>
    <xf numFmtId="44" fontId="6" fillId="0" borderId="4" xfId="0" applyNumberFormat="1" applyFont="1" applyBorder="1"/>
    <xf numFmtId="44" fontId="6" fillId="0" borderId="5" xfId="0" applyNumberFormat="1" applyFont="1" applyBorder="1"/>
    <xf numFmtId="44" fontId="6" fillId="0" borderId="0" xfId="0" applyNumberFormat="1" applyFont="1"/>
    <xf numFmtId="44" fontId="6" fillId="0" borderId="0" xfId="0" applyNumberFormat="1" applyFont="1" applyBorder="1"/>
    <xf numFmtId="44" fontId="7" fillId="0" borderId="0" xfId="0" applyNumberFormat="1" applyFont="1" applyBorder="1"/>
    <xf numFmtId="37" fontId="6" fillId="0" borderId="0" xfId="0" applyNumberFormat="1" applyFont="1" applyAlignment="1">
      <alignment horizontal="right"/>
    </xf>
    <xf numFmtId="37" fontId="6" fillId="2" borderId="0" xfId="0" applyNumberFormat="1" applyFont="1" applyFill="1" applyAlignment="1">
      <alignment horizontal="right"/>
    </xf>
    <xf numFmtId="0" fontId="9" fillId="0" borderId="0" xfId="0" applyFont="1"/>
    <xf numFmtId="0" fontId="10" fillId="0" borderId="0" xfId="0" applyFont="1"/>
    <xf numFmtId="0" fontId="4" fillId="0" borderId="0" xfId="0" applyFont="1" applyFill="1"/>
    <xf numFmtId="44" fontId="3" fillId="0" borderId="0" xfId="0" applyNumberFormat="1" applyFont="1" applyFill="1"/>
    <xf numFmtId="0" fontId="0" fillId="0" borderId="0" xfId="0" applyFill="1"/>
    <xf numFmtId="44" fontId="11" fillId="0" borderId="0" xfId="0" applyNumberFormat="1" applyFont="1"/>
    <xf numFmtId="0" fontId="1" fillId="0" borderId="0" xfId="0" applyFont="1"/>
    <xf numFmtId="44" fontId="3" fillId="0" borderId="0" xfId="0" applyNumberFormat="1" applyFont="1"/>
    <xf numFmtId="44" fontId="3" fillId="2" borderId="0" xfId="0" applyNumberFormat="1" applyFont="1" applyFill="1"/>
    <xf numFmtId="44" fontId="3" fillId="0" borderId="0" xfId="0" applyNumberFormat="1" applyFont="1" applyFill="1"/>
    <xf numFmtId="44" fontId="12" fillId="0" borderId="0" xfId="0" applyNumberFormat="1" applyFont="1"/>
    <xf numFmtId="44" fontId="3" fillId="0" borderId="0" xfId="0" applyNumberFormat="1" applyFont="1" applyFill="1"/>
    <xf numFmtId="44" fontId="3" fillId="0" borderId="0" xfId="0" applyNumberFormat="1" applyFont="1"/>
    <xf numFmtId="44" fontId="3" fillId="0" borderId="0" xfId="0" applyNumberFormat="1" applyFont="1" applyFill="1"/>
    <xf numFmtId="37" fontId="6" fillId="0" borderId="0" xfId="0" applyNumberFormat="1" applyFont="1" applyFill="1" applyAlignment="1">
      <alignment horizontal="right"/>
    </xf>
    <xf numFmtId="0" fontId="1" fillId="0" borderId="0" xfId="0" applyFont="1" applyFill="1"/>
    <xf numFmtId="44" fontId="3" fillId="0" borderId="0" xfId="0" applyNumberFormat="1" applyFont="1"/>
    <xf numFmtId="44" fontId="3" fillId="0" borderId="0" xfId="0" applyNumberFormat="1" applyFont="1" applyFill="1"/>
    <xf numFmtId="44" fontId="15" fillId="0" borderId="0" xfId="0" applyNumberFormat="1" applyFont="1"/>
    <xf numFmtId="44" fontId="6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Fill="1"/>
    <xf numFmtId="44" fontId="3" fillId="0" borderId="0" xfId="0" applyNumberFormat="1" applyFont="1"/>
    <xf numFmtId="0" fontId="16" fillId="0" borderId="0" xfId="0" applyFont="1"/>
    <xf numFmtId="44" fontId="3" fillId="0" borderId="0" xfId="0" applyNumberFormat="1" applyFont="1"/>
    <xf numFmtId="44" fontId="3" fillId="2" borderId="0" xfId="0" applyNumberFormat="1" applyFont="1" applyFill="1"/>
    <xf numFmtId="44" fontId="3" fillId="0" borderId="0" xfId="0" applyNumberFormat="1" applyFont="1" applyFill="1"/>
    <xf numFmtId="37" fontId="3" fillId="0" borderId="7" xfId="0" applyNumberFormat="1" applyFont="1" applyBorder="1"/>
    <xf numFmtId="37" fontId="3" fillId="0" borderId="0" xfId="0" applyNumberFormat="1" applyFon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5"/>
  <sheetViews>
    <sheetView zoomScale="125" workbookViewId="0">
      <selection activeCell="B27" sqref="B27"/>
    </sheetView>
  </sheetViews>
  <sheetFormatPr baseColWidth="10" defaultRowHeight="13" x14ac:dyDescent="0.15"/>
  <cols>
    <col min="1" max="1" width="9.33203125" customWidth="1"/>
    <col min="2" max="2" width="25" customWidth="1"/>
    <col min="3" max="3" width="27.1640625" customWidth="1"/>
    <col min="4" max="5" width="13.83203125" style="40" customWidth="1"/>
    <col min="6" max="6" width="10.83203125" style="5"/>
    <col min="7" max="7" width="8.1640625" customWidth="1"/>
  </cols>
  <sheetData>
    <row r="1" spans="1:6" x14ac:dyDescent="0.15">
      <c r="A1" s="1"/>
      <c r="B1" s="2"/>
      <c r="C1" s="2"/>
      <c r="D1" s="3"/>
      <c r="E1" s="3"/>
    </row>
    <row r="2" spans="1:6" x14ac:dyDescent="0.15">
      <c r="A2" s="6"/>
      <c r="B2" s="2"/>
      <c r="C2" s="2"/>
      <c r="D2" s="3"/>
      <c r="E2" s="3"/>
    </row>
    <row r="3" spans="1:6" x14ac:dyDescent="0.15">
      <c r="A3" s="6"/>
      <c r="B3" s="2"/>
      <c r="C3" s="2"/>
      <c r="D3" s="3"/>
      <c r="E3" s="3"/>
    </row>
    <row r="4" spans="1:6" ht="14" thickBot="1" x14ac:dyDescent="0.2">
      <c r="B4" s="2"/>
      <c r="C4" s="2"/>
      <c r="D4" s="7" t="s">
        <v>44</v>
      </c>
      <c r="E4" s="7" t="s">
        <v>96</v>
      </c>
    </row>
    <row r="5" spans="1:6" ht="14" thickBot="1" x14ac:dyDescent="0.2">
      <c r="A5" s="8" t="s">
        <v>45</v>
      </c>
      <c r="B5" s="2"/>
      <c r="C5" s="2"/>
      <c r="D5" s="3"/>
      <c r="E5" s="3"/>
    </row>
    <row r="6" spans="1:6" x14ac:dyDescent="0.15">
      <c r="A6" s="9"/>
      <c r="B6" s="2" t="s">
        <v>46</v>
      </c>
      <c r="C6" s="2"/>
      <c r="D6" s="3"/>
      <c r="E6" s="3"/>
    </row>
    <row r="7" spans="1:6" x14ac:dyDescent="0.15">
      <c r="A7" s="9">
        <v>1</v>
      </c>
      <c r="B7" s="58" t="s">
        <v>47</v>
      </c>
      <c r="C7" s="58"/>
      <c r="D7" s="3">
        <v>230000</v>
      </c>
      <c r="E7" s="3">
        <v>285500</v>
      </c>
      <c r="F7" s="5" t="s">
        <v>117</v>
      </c>
    </row>
    <row r="8" spans="1:6" x14ac:dyDescent="0.15">
      <c r="A8" s="9">
        <v>2</v>
      </c>
      <c r="B8" s="2" t="s">
        <v>48</v>
      </c>
      <c r="C8" s="2"/>
      <c r="D8" s="3">
        <v>35000</v>
      </c>
      <c r="E8" s="3">
        <v>0</v>
      </c>
    </row>
    <row r="9" spans="1:6" x14ac:dyDescent="0.15">
      <c r="A9" s="9"/>
      <c r="B9" s="2"/>
      <c r="C9" s="2"/>
      <c r="D9" s="3"/>
      <c r="E9" s="3"/>
    </row>
    <row r="10" spans="1:6" x14ac:dyDescent="0.15">
      <c r="A10" s="9"/>
      <c r="B10" s="58" t="s">
        <v>49</v>
      </c>
      <c r="C10" s="58"/>
      <c r="D10" s="3"/>
      <c r="E10" s="3"/>
    </row>
    <row r="11" spans="1:6" x14ac:dyDescent="0.15">
      <c r="A11" s="10">
        <v>3</v>
      </c>
      <c r="B11" s="59" t="s">
        <v>50</v>
      </c>
      <c r="C11" s="59"/>
      <c r="D11" s="11">
        <v>50000</v>
      </c>
      <c r="E11" s="11">
        <v>50000</v>
      </c>
      <c r="F11" s="12"/>
    </row>
    <row r="12" spans="1:6" x14ac:dyDescent="0.15">
      <c r="A12" s="10">
        <v>3</v>
      </c>
      <c r="B12" s="59" t="s">
        <v>51</v>
      </c>
      <c r="C12" s="59"/>
      <c r="D12" s="11">
        <v>40000</v>
      </c>
      <c r="E12" s="11">
        <v>40000</v>
      </c>
    </row>
    <row r="13" spans="1:6" x14ac:dyDescent="0.15">
      <c r="A13" s="10">
        <v>3</v>
      </c>
      <c r="B13" s="59" t="s">
        <v>52</v>
      </c>
      <c r="C13" s="59"/>
      <c r="D13" s="11">
        <v>7500</v>
      </c>
      <c r="E13" s="11">
        <v>7500</v>
      </c>
    </row>
    <row r="14" spans="1:6" x14ac:dyDescent="0.15">
      <c r="A14" s="10">
        <v>3</v>
      </c>
      <c r="B14" s="59" t="s">
        <v>53</v>
      </c>
      <c r="C14" s="59"/>
      <c r="D14" s="11">
        <v>60000</v>
      </c>
      <c r="E14" s="11">
        <v>60000</v>
      </c>
    </row>
    <row r="15" spans="1:6" x14ac:dyDescent="0.15">
      <c r="A15" s="10">
        <v>3</v>
      </c>
      <c r="B15" s="13" t="s">
        <v>0</v>
      </c>
      <c r="C15" s="13"/>
      <c r="D15" s="11">
        <v>11000</v>
      </c>
      <c r="E15" s="11">
        <v>11000</v>
      </c>
    </row>
    <row r="16" spans="1:6" x14ac:dyDescent="0.15">
      <c r="A16" s="14">
        <v>4</v>
      </c>
      <c r="B16" s="60" t="s">
        <v>1</v>
      </c>
      <c r="C16" s="60"/>
      <c r="D16" s="15">
        <v>25250</v>
      </c>
      <c r="E16" s="15">
        <f>11000+10000</f>
        <v>21000</v>
      </c>
      <c r="F16" s="12" t="s">
        <v>99</v>
      </c>
    </row>
    <row r="17" spans="1:7" x14ac:dyDescent="0.15">
      <c r="A17" s="10">
        <v>5</v>
      </c>
      <c r="B17" s="13" t="s">
        <v>2</v>
      </c>
      <c r="C17" s="13"/>
      <c r="D17" s="11">
        <v>20000</v>
      </c>
      <c r="E17" s="11"/>
    </row>
    <row r="18" spans="1:7" x14ac:dyDescent="0.15">
      <c r="A18" s="16">
        <v>6</v>
      </c>
      <c r="B18" s="17" t="s">
        <v>3</v>
      </c>
      <c r="C18" s="17"/>
      <c r="D18" s="18"/>
      <c r="E18" s="18"/>
    </row>
    <row r="19" spans="1:7" x14ac:dyDescent="0.15">
      <c r="A19" s="16">
        <v>7</v>
      </c>
      <c r="B19" s="17" t="s">
        <v>4</v>
      </c>
      <c r="C19" s="17"/>
      <c r="D19" s="18">
        <f>(34000*3/4)+15000+18000</f>
        <v>58500</v>
      </c>
      <c r="E19" s="18">
        <f>2715*12</f>
        <v>32580</v>
      </c>
      <c r="F19" s="12" t="s">
        <v>100</v>
      </c>
      <c r="G19" s="19"/>
    </row>
    <row r="20" spans="1:7" x14ac:dyDescent="0.15">
      <c r="A20" s="16">
        <v>8</v>
      </c>
      <c r="B20" s="17" t="s">
        <v>5</v>
      </c>
      <c r="C20" s="17"/>
      <c r="D20" s="18">
        <v>337000</v>
      </c>
      <c r="E20" s="18"/>
      <c r="F20" s="20" t="s">
        <v>101</v>
      </c>
      <c r="G20" s="19"/>
    </row>
    <row r="21" spans="1:7" x14ac:dyDescent="0.15">
      <c r="A21" s="16">
        <v>6</v>
      </c>
      <c r="B21" s="17" t="s">
        <v>6</v>
      </c>
      <c r="C21" s="17"/>
      <c r="D21" s="18">
        <f>3000+20000+(14950*3/4)</f>
        <v>34212.5</v>
      </c>
      <c r="E21" s="18"/>
      <c r="F21" s="21" t="s">
        <v>102</v>
      </c>
      <c r="G21" s="19"/>
    </row>
    <row r="22" spans="1:7" x14ac:dyDescent="0.15">
      <c r="A22" s="16">
        <v>6</v>
      </c>
      <c r="B22" s="17" t="s">
        <v>7</v>
      </c>
      <c r="C22" s="17"/>
      <c r="D22" s="18">
        <f>3000</f>
        <v>3000</v>
      </c>
      <c r="E22" s="18">
        <v>0</v>
      </c>
      <c r="F22" s="44" t="s">
        <v>103</v>
      </c>
      <c r="G22" s="19"/>
    </row>
    <row r="23" spans="1:7" x14ac:dyDescent="0.15">
      <c r="A23" s="16">
        <v>9</v>
      </c>
      <c r="B23" s="17" t="s">
        <v>8</v>
      </c>
      <c r="C23" s="17"/>
      <c r="D23" s="18">
        <f>183400+150500</f>
        <v>333900</v>
      </c>
      <c r="E23" s="18"/>
      <c r="F23" s="20" t="s">
        <v>104</v>
      </c>
      <c r="G23" s="19"/>
    </row>
    <row r="24" spans="1:7" x14ac:dyDescent="0.15">
      <c r="A24" s="16">
        <v>6</v>
      </c>
      <c r="B24" s="17" t="s">
        <v>9</v>
      </c>
      <c r="C24" s="17"/>
      <c r="D24" s="18">
        <f>2500+2000</f>
        <v>4500</v>
      </c>
      <c r="E24" s="18"/>
      <c r="F24" s="20" t="s">
        <v>105</v>
      </c>
      <c r="G24" s="22"/>
    </row>
    <row r="25" spans="1:7" x14ac:dyDescent="0.15">
      <c r="A25" s="16">
        <v>6</v>
      </c>
      <c r="B25" s="17" t="s">
        <v>97</v>
      </c>
      <c r="C25" s="17"/>
      <c r="D25" s="18">
        <f>(769250*0.17*3/4)+34935</f>
        <v>133014.375</v>
      </c>
      <c r="E25" s="18">
        <f>113682+10000</f>
        <v>123682</v>
      </c>
      <c r="F25" s="21" t="s">
        <v>106</v>
      </c>
      <c r="G25" s="19"/>
    </row>
    <row r="26" spans="1:7" x14ac:dyDescent="0.15">
      <c r="A26" s="16">
        <v>6</v>
      </c>
      <c r="B26" s="17" t="s">
        <v>98</v>
      </c>
      <c r="C26" s="17"/>
      <c r="D26" s="18">
        <v>54000</v>
      </c>
      <c r="E26" s="18"/>
      <c r="F26" s="20" t="s">
        <v>107</v>
      </c>
      <c r="G26" s="19"/>
    </row>
    <row r="27" spans="1:7" x14ac:dyDescent="0.15">
      <c r="A27" s="16">
        <v>10</v>
      </c>
      <c r="B27" s="17" t="s">
        <v>10</v>
      </c>
      <c r="C27" s="17"/>
      <c r="D27" s="18">
        <v>65000</v>
      </c>
      <c r="E27" s="18"/>
      <c r="F27" s="21" t="s">
        <v>103</v>
      </c>
      <c r="G27" s="19"/>
    </row>
    <row r="28" spans="1:7" x14ac:dyDescent="0.15">
      <c r="A28" s="16">
        <v>6</v>
      </c>
      <c r="B28" s="17" t="s">
        <v>11</v>
      </c>
      <c r="C28" s="17"/>
      <c r="D28" s="18">
        <v>6000</v>
      </c>
      <c r="E28" s="18">
        <v>6000</v>
      </c>
      <c r="F28" s="22"/>
      <c r="G28" s="22"/>
    </row>
    <row r="29" spans="1:7" x14ac:dyDescent="0.15">
      <c r="A29" s="9"/>
      <c r="B29" s="2"/>
      <c r="C29" s="2"/>
      <c r="D29" s="3"/>
      <c r="E29" s="3"/>
      <c r="F29" s="22"/>
      <c r="G29" s="23"/>
    </row>
    <row r="30" spans="1:7" x14ac:dyDescent="0.15">
      <c r="A30" s="9"/>
      <c r="B30" s="2" t="s">
        <v>12</v>
      </c>
      <c r="C30" s="2"/>
      <c r="D30" s="3"/>
      <c r="E30" s="3"/>
    </row>
    <row r="31" spans="1:7" x14ac:dyDescent="0.15">
      <c r="A31" s="9">
        <v>11</v>
      </c>
      <c r="B31" s="58" t="s">
        <v>13</v>
      </c>
      <c r="C31" s="58"/>
      <c r="D31" s="3">
        <v>400000</v>
      </c>
      <c r="E31" s="3">
        <v>390000</v>
      </c>
    </row>
    <row r="32" spans="1:7" x14ac:dyDescent="0.15">
      <c r="A32" s="9">
        <v>12</v>
      </c>
      <c r="B32" s="2" t="s">
        <v>14</v>
      </c>
      <c r="C32" s="2"/>
      <c r="D32" s="3">
        <v>56000</v>
      </c>
      <c r="E32" s="3">
        <v>50000</v>
      </c>
      <c r="F32" s="5" t="s">
        <v>108</v>
      </c>
    </row>
    <row r="33" spans="1:6" x14ac:dyDescent="0.15">
      <c r="A33" s="9">
        <v>13</v>
      </c>
      <c r="B33" s="2" t="s">
        <v>15</v>
      </c>
      <c r="C33" s="2"/>
      <c r="D33" s="3"/>
      <c r="E33" s="3"/>
      <c r="F33" s="12"/>
    </row>
    <row r="34" spans="1:6" x14ac:dyDescent="0.15">
      <c r="A34" s="9">
        <v>14</v>
      </c>
      <c r="B34" s="2" t="s">
        <v>16</v>
      </c>
      <c r="C34" s="2"/>
      <c r="D34" s="3"/>
      <c r="E34" s="3"/>
      <c r="F34" s="12"/>
    </row>
    <row r="35" spans="1:6" x14ac:dyDescent="0.15">
      <c r="A35" s="9"/>
      <c r="B35" s="2"/>
      <c r="C35" s="2"/>
      <c r="D35" s="3"/>
      <c r="E35" s="3"/>
    </row>
    <row r="36" spans="1:6" x14ac:dyDescent="0.15">
      <c r="A36" s="9"/>
      <c r="B36" s="2" t="s">
        <v>17</v>
      </c>
      <c r="C36" s="2"/>
      <c r="D36" s="3"/>
      <c r="E36" s="3"/>
    </row>
    <row r="37" spans="1:6" x14ac:dyDescent="0.15">
      <c r="A37" s="10">
        <v>13</v>
      </c>
      <c r="B37" s="59" t="s">
        <v>18</v>
      </c>
      <c r="C37" s="59"/>
      <c r="D37" s="11">
        <v>15000</v>
      </c>
      <c r="E37" s="11">
        <v>15000</v>
      </c>
    </row>
    <row r="38" spans="1:6" x14ac:dyDescent="0.15">
      <c r="A38" s="10">
        <v>13</v>
      </c>
      <c r="B38" s="59" t="s">
        <v>19</v>
      </c>
      <c r="C38" s="59"/>
      <c r="D38" s="11">
        <v>20000</v>
      </c>
      <c r="E38" s="11">
        <v>20000</v>
      </c>
    </row>
    <row r="39" spans="1:6" x14ac:dyDescent="0.15">
      <c r="A39" s="9"/>
      <c r="B39" s="2" t="s">
        <v>20</v>
      </c>
      <c r="C39" s="2"/>
      <c r="D39" s="3"/>
      <c r="E39" s="3"/>
    </row>
    <row r="40" spans="1:6" x14ac:dyDescent="0.15">
      <c r="A40" s="9"/>
      <c r="B40" s="2"/>
      <c r="C40" s="2"/>
      <c r="D40" s="3"/>
      <c r="E40" s="3"/>
    </row>
    <row r="41" spans="1:6" x14ac:dyDescent="0.15">
      <c r="A41" s="9"/>
      <c r="B41" s="2" t="s">
        <v>21</v>
      </c>
      <c r="C41" s="2"/>
      <c r="D41" s="3"/>
      <c r="E41" s="3"/>
    </row>
    <row r="42" spans="1:6" x14ac:dyDescent="0.15">
      <c r="A42" s="9">
        <v>15</v>
      </c>
      <c r="B42" s="2" t="s">
        <v>22</v>
      </c>
      <c r="C42" s="2"/>
      <c r="D42" s="3">
        <v>80000</v>
      </c>
      <c r="E42" s="3">
        <v>100000</v>
      </c>
      <c r="F42" s="12"/>
    </row>
    <row r="43" spans="1:6" x14ac:dyDescent="0.15">
      <c r="A43" s="9">
        <v>16</v>
      </c>
      <c r="B43" s="2" t="s">
        <v>23</v>
      </c>
      <c r="C43" s="2"/>
      <c r="D43" s="3">
        <v>75000</v>
      </c>
      <c r="E43" s="3">
        <v>73000</v>
      </c>
    </row>
    <row r="44" spans="1:6" x14ac:dyDescent="0.15">
      <c r="A44" s="9">
        <v>17</v>
      </c>
      <c r="B44" s="58" t="s">
        <v>24</v>
      </c>
      <c r="C44" s="58"/>
      <c r="D44" s="3">
        <v>24000</v>
      </c>
      <c r="E44" s="3">
        <v>24900</v>
      </c>
    </row>
    <row r="45" spans="1:6" x14ac:dyDescent="0.15">
      <c r="A45" s="9">
        <v>18</v>
      </c>
      <c r="B45" s="2" t="s">
        <v>25</v>
      </c>
      <c r="C45" s="2"/>
      <c r="D45" s="3">
        <v>4000</v>
      </c>
      <c r="E45" s="3">
        <v>5000</v>
      </c>
      <c r="F45" s="12"/>
    </row>
    <row r="46" spans="1:6" x14ac:dyDescent="0.15">
      <c r="A46" s="9">
        <v>19</v>
      </c>
      <c r="B46" s="58" t="s">
        <v>26</v>
      </c>
      <c r="C46" s="58"/>
      <c r="D46" s="3">
        <v>7750</v>
      </c>
      <c r="E46" s="3">
        <v>7750</v>
      </c>
      <c r="F46" s="12"/>
    </row>
    <row r="47" spans="1:6" x14ac:dyDescent="0.15">
      <c r="A47" s="9"/>
      <c r="B47" s="24"/>
      <c r="C47" s="2"/>
      <c r="D47" s="3"/>
      <c r="E47" s="3"/>
    </row>
    <row r="48" spans="1:6" x14ac:dyDescent="0.15">
      <c r="A48" s="9"/>
      <c r="B48" s="2" t="s">
        <v>27</v>
      </c>
      <c r="C48" s="2"/>
      <c r="D48" s="3"/>
      <c r="E48" s="3"/>
    </row>
    <row r="49" spans="1:6" x14ac:dyDescent="0.15">
      <c r="A49" s="10">
        <v>20</v>
      </c>
      <c r="B49" s="59" t="s">
        <v>28</v>
      </c>
      <c r="C49" s="59"/>
      <c r="D49" s="11">
        <v>5000</v>
      </c>
      <c r="E49" s="11">
        <v>5000</v>
      </c>
      <c r="F49" s="12"/>
    </row>
    <row r="50" spans="1:6" x14ac:dyDescent="0.15">
      <c r="A50" s="10">
        <v>21</v>
      </c>
      <c r="B50" s="59" t="s">
        <v>29</v>
      </c>
      <c r="C50" s="59"/>
      <c r="D50" s="11"/>
      <c r="E50" s="11"/>
      <c r="F50" s="12"/>
    </row>
    <row r="51" spans="1:6" x14ac:dyDescent="0.15">
      <c r="A51" s="9">
        <v>22</v>
      </c>
      <c r="B51" s="58" t="s">
        <v>30</v>
      </c>
      <c r="C51" s="58"/>
      <c r="D51" s="3">
        <v>2500</v>
      </c>
      <c r="E51" s="3">
        <v>2500</v>
      </c>
      <c r="F51" s="12"/>
    </row>
    <row r="52" spans="1:6" x14ac:dyDescent="0.15">
      <c r="A52" s="9">
        <v>23</v>
      </c>
      <c r="B52" s="2" t="s">
        <v>31</v>
      </c>
      <c r="C52" s="2"/>
      <c r="D52" s="3"/>
      <c r="E52" s="3"/>
      <c r="F52" s="12"/>
    </row>
    <row r="53" spans="1:6" x14ac:dyDescent="0.15">
      <c r="A53" s="9"/>
      <c r="B53" s="2"/>
      <c r="C53" s="2"/>
      <c r="D53" s="4"/>
      <c r="E53" s="3"/>
      <c r="F53" s="12"/>
    </row>
    <row r="54" spans="1:6" x14ac:dyDescent="0.15">
      <c r="A54" s="9"/>
      <c r="B54" s="2" t="s">
        <v>32</v>
      </c>
      <c r="C54" s="2"/>
      <c r="D54" s="3"/>
      <c r="E54" s="3"/>
    </row>
    <row r="55" spans="1:6" x14ac:dyDescent="0.15">
      <c r="A55" s="10">
        <v>24</v>
      </c>
      <c r="B55" s="13" t="s">
        <v>33</v>
      </c>
      <c r="C55" s="13"/>
      <c r="D55" s="15">
        <v>0</v>
      </c>
      <c r="E55" s="15"/>
    </row>
    <row r="56" spans="1:6" x14ac:dyDescent="0.15">
      <c r="A56" s="10">
        <v>25</v>
      </c>
      <c r="B56" s="59" t="s">
        <v>34</v>
      </c>
      <c r="C56" s="59"/>
      <c r="D56" s="11">
        <v>25000</v>
      </c>
      <c r="E56" s="11">
        <v>25000</v>
      </c>
      <c r="F56" s="12"/>
    </row>
    <row r="57" spans="1:6" ht="14" thickBot="1" x14ac:dyDescent="0.2">
      <c r="B57" s="2"/>
      <c r="D57" s="25"/>
      <c r="E57" s="25"/>
    </row>
    <row r="58" spans="1:6" ht="14" thickBot="1" x14ac:dyDescent="0.2">
      <c r="A58" s="6"/>
      <c r="B58" s="26" t="s">
        <v>35</v>
      </c>
      <c r="C58" s="27"/>
      <c r="D58" s="28">
        <f>SUM(D6:D57)</f>
        <v>2222126.875</v>
      </c>
      <c r="E58" s="28">
        <f>SUM(E6:E57)</f>
        <v>1355412</v>
      </c>
    </row>
    <row r="59" spans="1:6" x14ac:dyDescent="0.15">
      <c r="A59" s="6"/>
      <c r="B59" s="29"/>
      <c r="C59" s="29"/>
      <c r="D59" s="30"/>
      <c r="E59" s="30"/>
    </row>
    <row r="60" spans="1:6" ht="14" thickBot="1" x14ac:dyDescent="0.2">
      <c r="A60" s="6"/>
      <c r="B60" s="29"/>
      <c r="C60" s="29"/>
      <c r="D60" s="3"/>
      <c r="E60" s="3"/>
    </row>
    <row r="61" spans="1:6" ht="14" thickBot="1" x14ac:dyDescent="0.2">
      <c r="A61" s="8" t="s">
        <v>36</v>
      </c>
      <c r="B61" s="2"/>
      <c r="C61" s="2"/>
      <c r="D61" s="3"/>
      <c r="E61" s="3"/>
    </row>
    <row r="62" spans="1:6" x14ac:dyDescent="0.15">
      <c r="A62" s="9"/>
      <c r="B62" s="2" t="s">
        <v>46</v>
      </c>
      <c r="C62" s="2"/>
      <c r="D62" s="3"/>
      <c r="E62" s="3"/>
    </row>
    <row r="63" spans="1:6" x14ac:dyDescent="0.15">
      <c r="A63" s="9">
        <v>1</v>
      </c>
      <c r="B63" s="2" t="s">
        <v>37</v>
      </c>
      <c r="C63" s="2"/>
      <c r="D63" s="3">
        <v>120000</v>
      </c>
      <c r="E63" s="3">
        <v>175000</v>
      </c>
    </row>
    <row r="64" spans="1:6" x14ac:dyDescent="0.15">
      <c r="A64" s="9">
        <v>2</v>
      </c>
      <c r="B64" s="2" t="s">
        <v>38</v>
      </c>
      <c r="C64" s="2"/>
      <c r="D64" s="3">
        <f>D8-7500</f>
        <v>27500</v>
      </c>
      <c r="E64" s="3">
        <v>0</v>
      </c>
    </row>
    <row r="65" spans="1:7" x14ac:dyDescent="0.15">
      <c r="A65" s="9"/>
      <c r="B65" s="2"/>
      <c r="C65" s="2"/>
      <c r="D65" s="3"/>
      <c r="E65" s="3"/>
    </row>
    <row r="66" spans="1:7" x14ac:dyDescent="0.15">
      <c r="A66" s="9"/>
      <c r="B66" s="58" t="s">
        <v>49</v>
      </c>
      <c r="C66" s="58"/>
      <c r="D66" s="3"/>
      <c r="E66" s="3"/>
    </row>
    <row r="67" spans="1:7" x14ac:dyDescent="0.15">
      <c r="A67" s="10">
        <v>3</v>
      </c>
      <c r="B67" s="59" t="str">
        <f>B11</f>
        <v xml:space="preserve">      -Fellowships for Dig Scholarships (Heritage, Platt, membership etc. distribution)</v>
      </c>
      <c r="C67" s="59"/>
      <c r="D67" s="11">
        <f>D11</f>
        <v>50000</v>
      </c>
      <c r="E67" s="11">
        <f>E11</f>
        <v>50000</v>
      </c>
    </row>
    <row r="68" spans="1:7" x14ac:dyDescent="0.15">
      <c r="A68" s="10">
        <v>3</v>
      </c>
      <c r="B68" s="59" t="str">
        <f>B12</f>
        <v xml:space="preserve">      -Fellowships funds placed in endowment (e.g., MacAllister, Strange/Midkiff, Meyers)</v>
      </c>
      <c r="C68" s="59"/>
      <c r="D68" s="11">
        <f t="shared" ref="D68:E71" si="0">D12</f>
        <v>40000</v>
      </c>
      <c r="E68" s="11">
        <f t="shared" si="0"/>
        <v>40000</v>
      </c>
    </row>
    <row r="69" spans="1:7" x14ac:dyDescent="0.15">
      <c r="A69" s="10">
        <v>3</v>
      </c>
      <c r="B69" s="59" t="str">
        <f>B13</f>
        <v xml:space="preserve">      -Field Research Support Awarded (Harris and Seger distribution)</v>
      </c>
      <c r="C69" s="59"/>
      <c r="D69" s="11">
        <f t="shared" si="0"/>
        <v>7500</v>
      </c>
      <c r="E69" s="11">
        <f t="shared" si="0"/>
        <v>7500</v>
      </c>
    </row>
    <row r="70" spans="1:7" x14ac:dyDescent="0.15">
      <c r="A70" s="10">
        <v>3</v>
      </c>
      <c r="B70" s="59" t="str">
        <f>B14</f>
        <v xml:space="preserve">      -Field Research funds placed in endowment (Harris, Seger, Geraty)</v>
      </c>
      <c r="C70" s="59"/>
      <c r="D70" s="11">
        <f t="shared" si="0"/>
        <v>60000</v>
      </c>
      <c r="E70" s="11">
        <f t="shared" si="0"/>
        <v>60000</v>
      </c>
    </row>
    <row r="71" spans="1:7" x14ac:dyDescent="0.15">
      <c r="A71" s="10">
        <v>3</v>
      </c>
      <c r="B71" s="13" t="str">
        <f>B15</f>
        <v xml:space="preserve">      -Fellowships for members (e.g., travel to collections; Dever Fellowship)</v>
      </c>
      <c r="C71" s="13"/>
      <c r="D71" s="11">
        <f t="shared" si="0"/>
        <v>11000</v>
      </c>
      <c r="E71" s="11">
        <f t="shared" si="0"/>
        <v>11000</v>
      </c>
    </row>
    <row r="72" spans="1:7" x14ac:dyDescent="0.15">
      <c r="A72" s="9">
        <v>4</v>
      </c>
      <c r="B72" s="58" t="s">
        <v>39</v>
      </c>
      <c r="C72" s="58"/>
      <c r="D72" s="3"/>
      <c r="E72" s="3"/>
    </row>
    <row r="73" spans="1:7" x14ac:dyDescent="0.15">
      <c r="A73" s="10">
        <v>5</v>
      </c>
      <c r="B73" s="13" t="s">
        <v>40</v>
      </c>
      <c r="C73" s="13"/>
      <c r="D73" s="11">
        <f>D17-7500</f>
        <v>12500</v>
      </c>
      <c r="E73" s="11">
        <f>E17-7500-2000</f>
        <v>-9500</v>
      </c>
      <c r="F73" s="5" t="s">
        <v>109</v>
      </c>
    </row>
    <row r="74" spans="1:7" x14ac:dyDescent="0.15">
      <c r="A74" s="16">
        <v>8</v>
      </c>
      <c r="B74" s="17" t="s">
        <v>41</v>
      </c>
      <c r="C74" s="17"/>
      <c r="D74" s="18">
        <f t="shared" ref="D74:D78" si="1">D20</f>
        <v>337000</v>
      </c>
      <c r="E74" s="18"/>
      <c r="F74" s="22"/>
      <c r="G74" s="22"/>
    </row>
    <row r="75" spans="1:7" x14ac:dyDescent="0.15">
      <c r="A75" s="16">
        <v>8</v>
      </c>
      <c r="B75" s="17" t="str">
        <f>B21</f>
        <v xml:space="preserve">      -CHI travel expenses (DOS and other grants)</v>
      </c>
      <c r="C75" s="17"/>
      <c r="D75" s="18">
        <f t="shared" si="1"/>
        <v>34212.5</v>
      </c>
      <c r="E75" s="18"/>
      <c r="F75" s="21"/>
      <c r="G75" s="22"/>
    </row>
    <row r="76" spans="1:7" x14ac:dyDescent="0.15">
      <c r="A76" s="16">
        <v>8</v>
      </c>
      <c r="B76" s="17" t="str">
        <f>B22</f>
        <v xml:space="preserve">      -CHI equipment and/or rent</v>
      </c>
      <c r="C76" s="17"/>
      <c r="D76" s="18">
        <f t="shared" si="1"/>
        <v>3000</v>
      </c>
      <c r="E76" s="18"/>
      <c r="F76" s="22"/>
      <c r="G76" s="22"/>
    </row>
    <row r="77" spans="1:7" x14ac:dyDescent="0.15">
      <c r="A77" s="16">
        <v>8</v>
      </c>
      <c r="B77" s="17" t="str">
        <f>B23</f>
        <v xml:space="preserve">      -CHI contractors (DOS and Whiting and GCI)</v>
      </c>
      <c r="C77" s="17"/>
      <c r="D77" s="18">
        <f t="shared" si="1"/>
        <v>333900</v>
      </c>
      <c r="E77" s="18"/>
      <c r="F77" s="22"/>
      <c r="G77" s="22"/>
    </row>
    <row r="78" spans="1:7" x14ac:dyDescent="0.15">
      <c r="A78" s="16">
        <v>8</v>
      </c>
      <c r="B78" s="17" t="str">
        <f>B24</f>
        <v xml:space="preserve">      -CHI revenue for supplies and other</v>
      </c>
      <c r="C78" s="17"/>
      <c r="D78" s="18">
        <f t="shared" si="1"/>
        <v>4500</v>
      </c>
      <c r="E78" s="18"/>
      <c r="F78" s="22"/>
      <c r="G78" s="22"/>
    </row>
    <row r="79" spans="1:7" x14ac:dyDescent="0.15">
      <c r="A79" s="16">
        <v>8</v>
      </c>
      <c r="B79" s="17" t="str">
        <f>B26</f>
        <v xml:space="preserve">      -CHI other direct costs (CHM)</v>
      </c>
      <c r="C79" s="17"/>
      <c r="D79" s="18">
        <f>D26</f>
        <v>54000</v>
      </c>
      <c r="E79" s="18"/>
      <c r="F79" s="22"/>
      <c r="G79" s="22"/>
    </row>
    <row r="80" spans="1:7" x14ac:dyDescent="0.15">
      <c r="A80" s="16">
        <v>8</v>
      </c>
      <c r="B80" s="17" t="s">
        <v>42</v>
      </c>
      <c r="C80" s="17"/>
      <c r="D80" s="18">
        <v>0</v>
      </c>
      <c r="E80" s="18"/>
      <c r="F80" s="21"/>
      <c r="G80" s="22"/>
    </row>
    <row r="81" spans="1:7" x14ac:dyDescent="0.15">
      <c r="A81" s="16">
        <v>8</v>
      </c>
      <c r="B81" s="17" t="str">
        <f>B27</f>
        <v xml:space="preserve">      -CHI designated revenue and grants (e.g. Arches)</v>
      </c>
      <c r="C81" s="17"/>
      <c r="D81" s="18">
        <f>D27</f>
        <v>65000</v>
      </c>
      <c r="E81" s="18"/>
      <c r="F81" s="21"/>
      <c r="G81" s="22"/>
    </row>
    <row r="82" spans="1:7" x14ac:dyDescent="0.15">
      <c r="A82" s="16">
        <v>8</v>
      </c>
      <c r="B82" s="17" t="s">
        <v>43</v>
      </c>
      <c r="C82" s="17"/>
      <c r="D82" s="18">
        <f>D28</f>
        <v>6000</v>
      </c>
      <c r="E82" s="18">
        <v>6000</v>
      </c>
      <c r="F82" s="21"/>
      <c r="G82" s="22"/>
    </row>
    <row r="83" spans="1:7" x14ac:dyDescent="0.15">
      <c r="A83" s="9">
        <v>26</v>
      </c>
      <c r="B83" s="58" t="s">
        <v>54</v>
      </c>
      <c r="C83" s="58"/>
      <c r="D83" s="3">
        <f>2500+10000</f>
        <v>12500</v>
      </c>
      <c r="E83" s="3">
        <f>2500+10000</f>
        <v>12500</v>
      </c>
      <c r="F83" s="12" t="s">
        <v>110</v>
      </c>
    </row>
    <row r="84" spans="1:7" x14ac:dyDescent="0.15">
      <c r="A84" s="9">
        <v>26</v>
      </c>
      <c r="B84" s="2" t="s">
        <v>55</v>
      </c>
      <c r="C84" s="2"/>
      <c r="D84" s="3">
        <v>2000</v>
      </c>
      <c r="E84" s="3">
        <v>1000</v>
      </c>
      <c r="F84" s="5" t="s">
        <v>111</v>
      </c>
    </row>
    <row r="85" spans="1:7" x14ac:dyDescent="0.15">
      <c r="A85" s="9">
        <v>26</v>
      </c>
      <c r="B85" s="58" t="s">
        <v>56</v>
      </c>
      <c r="C85" s="58"/>
      <c r="D85" s="3">
        <v>4000</v>
      </c>
      <c r="E85" s="3">
        <v>4000</v>
      </c>
      <c r="F85" s="31"/>
    </row>
    <row r="86" spans="1:7" x14ac:dyDescent="0.15">
      <c r="A86" s="9"/>
      <c r="B86" s="2" t="s">
        <v>57</v>
      </c>
      <c r="C86" s="2"/>
      <c r="D86" s="3">
        <v>0</v>
      </c>
      <c r="E86" s="3"/>
      <c r="F86" s="31"/>
    </row>
    <row r="87" spans="1:7" x14ac:dyDescent="0.15">
      <c r="A87" s="9">
        <v>27</v>
      </c>
      <c r="B87" s="58" t="s">
        <v>58</v>
      </c>
      <c r="C87" s="58"/>
      <c r="D87" s="3">
        <v>10000</v>
      </c>
      <c r="E87" s="3">
        <v>22000</v>
      </c>
      <c r="F87" s="12" t="s">
        <v>112</v>
      </c>
    </row>
    <row r="88" spans="1:7" x14ac:dyDescent="0.15">
      <c r="A88" s="9">
        <v>28</v>
      </c>
      <c r="B88" s="2" t="s">
        <v>59</v>
      </c>
      <c r="C88" s="2"/>
      <c r="D88" s="3">
        <v>3000</v>
      </c>
      <c r="E88" s="3">
        <v>3000</v>
      </c>
      <c r="F88" s="12"/>
    </row>
    <row r="89" spans="1:7" x14ac:dyDescent="0.15">
      <c r="A89" s="9"/>
      <c r="B89" s="2"/>
      <c r="C89" s="2"/>
      <c r="D89" s="3"/>
      <c r="E89" s="3"/>
    </row>
    <row r="90" spans="1:7" x14ac:dyDescent="0.15">
      <c r="A90" s="9"/>
      <c r="B90" s="2" t="s">
        <v>60</v>
      </c>
      <c r="C90" s="2"/>
      <c r="D90" s="3"/>
      <c r="E90" s="3"/>
    </row>
    <row r="91" spans="1:7" x14ac:dyDescent="0.15">
      <c r="A91" s="9">
        <v>29</v>
      </c>
      <c r="B91" s="2" t="s">
        <v>61</v>
      </c>
      <c r="C91" s="2"/>
      <c r="D91" s="3">
        <v>0</v>
      </c>
      <c r="E91" s="3"/>
    </row>
    <row r="92" spans="1:7" x14ac:dyDescent="0.15">
      <c r="A92" s="9">
        <v>29</v>
      </c>
      <c r="B92" s="2" t="s">
        <v>62</v>
      </c>
      <c r="C92" s="2"/>
      <c r="D92" s="3">
        <v>500</v>
      </c>
      <c r="E92" s="3">
        <v>100</v>
      </c>
    </row>
    <row r="93" spans="1:7" x14ac:dyDescent="0.15">
      <c r="A93" s="9"/>
      <c r="B93" s="2"/>
      <c r="C93" s="2"/>
      <c r="D93" s="3"/>
      <c r="E93" s="3"/>
    </row>
    <row r="94" spans="1:7" x14ac:dyDescent="0.15">
      <c r="A94" s="9"/>
      <c r="B94" s="2" t="s">
        <v>63</v>
      </c>
      <c r="C94" s="2"/>
      <c r="D94" s="3"/>
      <c r="E94" s="3"/>
    </row>
    <row r="95" spans="1:7" x14ac:dyDescent="0.15">
      <c r="A95" s="32">
        <v>30</v>
      </c>
      <c r="B95" s="2" t="s">
        <v>64</v>
      </c>
      <c r="C95" s="2"/>
      <c r="D95" s="3">
        <v>76000</v>
      </c>
      <c r="E95" s="3">
        <v>76000</v>
      </c>
      <c r="F95" s="12"/>
    </row>
    <row r="96" spans="1:7" x14ac:dyDescent="0.15">
      <c r="A96" s="32">
        <v>30</v>
      </c>
      <c r="B96" s="2" t="s">
        <v>65</v>
      </c>
      <c r="C96" s="2"/>
      <c r="D96" s="3">
        <v>68000</v>
      </c>
      <c r="E96" s="3">
        <v>65000</v>
      </c>
      <c r="F96" s="12" t="s">
        <v>114</v>
      </c>
    </row>
    <row r="97" spans="1:6" x14ac:dyDescent="0.15">
      <c r="A97" s="32">
        <v>30</v>
      </c>
      <c r="B97" s="2" t="s">
        <v>66</v>
      </c>
      <c r="C97" s="2"/>
      <c r="D97" s="3">
        <v>3500</v>
      </c>
      <c r="E97" s="3">
        <v>3500</v>
      </c>
    </row>
    <row r="98" spans="1:6" x14ac:dyDescent="0.15">
      <c r="A98" s="33">
        <v>7</v>
      </c>
      <c r="B98" s="13" t="s">
        <v>67</v>
      </c>
      <c r="C98" s="13"/>
      <c r="D98" s="11">
        <v>7500</v>
      </c>
      <c r="E98" s="11">
        <v>7500</v>
      </c>
    </row>
    <row r="99" spans="1:6" x14ac:dyDescent="0.15">
      <c r="A99" s="32"/>
      <c r="B99" s="2"/>
      <c r="C99" s="2"/>
      <c r="D99" s="3"/>
      <c r="E99" s="3"/>
    </row>
    <row r="100" spans="1:6" x14ac:dyDescent="0.15">
      <c r="A100" s="32">
        <v>30</v>
      </c>
      <c r="B100" s="2" t="s">
        <v>68</v>
      </c>
      <c r="C100" s="2"/>
      <c r="D100" s="3">
        <v>8000</v>
      </c>
      <c r="E100" s="3">
        <v>8000</v>
      </c>
    </row>
    <row r="101" spans="1:6" x14ac:dyDescent="0.15">
      <c r="A101" s="9">
        <v>30</v>
      </c>
      <c r="B101" s="2" t="s">
        <v>69</v>
      </c>
      <c r="C101" s="2"/>
      <c r="D101" s="3">
        <v>1250</v>
      </c>
      <c r="E101" s="3">
        <f>1250+3000</f>
        <v>4250</v>
      </c>
      <c r="F101" s="34" t="s">
        <v>113</v>
      </c>
    </row>
    <row r="102" spans="1:6" x14ac:dyDescent="0.15">
      <c r="A102" s="9">
        <v>31</v>
      </c>
      <c r="B102" s="2" t="s">
        <v>70</v>
      </c>
      <c r="C102" s="2"/>
      <c r="D102" s="3">
        <v>30000</v>
      </c>
      <c r="E102" s="3">
        <v>30000</v>
      </c>
    </row>
    <row r="103" spans="1:6" x14ac:dyDescent="0.15">
      <c r="A103" s="9"/>
      <c r="B103" s="2"/>
      <c r="C103" s="2"/>
      <c r="D103" s="3"/>
      <c r="E103" s="3"/>
    </row>
    <row r="104" spans="1:6" x14ac:dyDescent="0.15">
      <c r="A104" s="9"/>
      <c r="B104" s="2" t="s">
        <v>17</v>
      </c>
      <c r="C104" s="2"/>
      <c r="D104" s="3"/>
      <c r="E104" s="3"/>
    </row>
    <row r="105" spans="1:6" x14ac:dyDescent="0.15">
      <c r="A105" s="10">
        <v>13</v>
      </c>
      <c r="B105" s="13" t="s">
        <v>71</v>
      </c>
      <c r="C105" s="13"/>
      <c r="D105" s="11">
        <v>15000</v>
      </c>
      <c r="E105" s="11">
        <v>15000</v>
      </c>
      <c r="F105" s="35"/>
    </row>
    <row r="106" spans="1:6" x14ac:dyDescent="0.15">
      <c r="A106" s="10">
        <v>13</v>
      </c>
      <c r="B106" s="59" t="s">
        <v>72</v>
      </c>
      <c r="C106" s="59"/>
      <c r="D106" s="11">
        <v>20000</v>
      </c>
      <c r="E106" s="11">
        <v>20000</v>
      </c>
    </row>
    <row r="107" spans="1:6" x14ac:dyDescent="0.15">
      <c r="A107" s="9"/>
      <c r="B107" s="2"/>
      <c r="C107" s="2"/>
      <c r="D107" s="3"/>
      <c r="E107" s="3"/>
    </row>
    <row r="108" spans="1:6" x14ac:dyDescent="0.15">
      <c r="A108" s="9"/>
      <c r="B108" s="2" t="s">
        <v>73</v>
      </c>
      <c r="C108" s="2"/>
      <c r="D108" s="3"/>
      <c r="E108" s="3"/>
    </row>
    <row r="109" spans="1:6" x14ac:dyDescent="0.15">
      <c r="A109" s="10">
        <v>20</v>
      </c>
      <c r="B109" s="59" t="s">
        <v>28</v>
      </c>
      <c r="C109" s="59"/>
      <c r="D109" s="11">
        <v>5000</v>
      </c>
      <c r="E109" s="11">
        <v>5000</v>
      </c>
    </row>
    <row r="110" spans="1:6" x14ac:dyDescent="0.15">
      <c r="A110" s="10">
        <v>21</v>
      </c>
      <c r="B110" s="59" t="s">
        <v>29</v>
      </c>
      <c r="C110" s="59"/>
      <c r="D110" s="11">
        <f>D50</f>
        <v>0</v>
      </c>
      <c r="E110" s="11"/>
    </row>
    <row r="111" spans="1:6" x14ac:dyDescent="0.15">
      <c r="A111" s="6"/>
      <c r="B111" s="2"/>
      <c r="C111" s="2"/>
      <c r="D111" s="3"/>
      <c r="E111" s="3"/>
    </row>
    <row r="112" spans="1:6" x14ac:dyDescent="0.15">
      <c r="A112" s="6"/>
      <c r="B112" s="2" t="s">
        <v>74</v>
      </c>
      <c r="C112" s="2"/>
      <c r="D112" s="3"/>
      <c r="E112" s="3"/>
      <c r="F112" s="36"/>
    </row>
    <row r="113" spans="1:6" x14ac:dyDescent="0.15">
      <c r="A113" s="9">
        <v>32</v>
      </c>
      <c r="B113" s="2" t="s">
        <v>75</v>
      </c>
      <c r="C113" s="2"/>
      <c r="D113" s="3">
        <v>600000</v>
      </c>
      <c r="E113" s="3">
        <f>580000-22000</f>
        <v>558000</v>
      </c>
      <c r="F113" s="31" t="s">
        <v>115</v>
      </c>
    </row>
    <row r="114" spans="1:6" x14ac:dyDescent="0.15">
      <c r="A114" s="10">
        <v>24</v>
      </c>
      <c r="B114" s="13" t="s">
        <v>76</v>
      </c>
      <c r="C114" s="13"/>
      <c r="D114" s="15">
        <v>36000</v>
      </c>
      <c r="E114" s="15">
        <v>42336.04</v>
      </c>
      <c r="F114" s="34"/>
    </row>
    <row r="115" spans="1:6" s="38" customFormat="1" x14ac:dyDescent="0.15">
      <c r="A115" s="14"/>
      <c r="B115" s="37" t="s">
        <v>77</v>
      </c>
      <c r="C115" s="37"/>
      <c r="D115" s="15">
        <v>10000</v>
      </c>
      <c r="E115" s="15">
        <v>20000</v>
      </c>
      <c r="F115" s="36" t="s">
        <v>116</v>
      </c>
    </row>
    <row r="116" spans="1:6" x14ac:dyDescent="0.15">
      <c r="A116" s="9">
        <v>33</v>
      </c>
      <c r="B116" s="2" t="s">
        <v>78</v>
      </c>
      <c r="C116" s="2"/>
      <c r="D116" s="3">
        <v>8000</v>
      </c>
      <c r="E116" s="3">
        <v>8000</v>
      </c>
    </row>
    <row r="117" spans="1:6" x14ac:dyDescent="0.15">
      <c r="A117" s="9">
        <v>33</v>
      </c>
      <c r="B117" s="58" t="s">
        <v>79</v>
      </c>
      <c r="C117" s="58"/>
      <c r="D117" s="3">
        <v>12500</v>
      </c>
      <c r="E117" s="3">
        <v>12500</v>
      </c>
      <c r="F117" s="12"/>
    </row>
    <row r="118" spans="1:6" x14ac:dyDescent="0.15">
      <c r="A118" s="9">
        <v>33</v>
      </c>
      <c r="B118" s="2" t="s">
        <v>80</v>
      </c>
      <c r="C118" s="2"/>
      <c r="D118" s="3">
        <v>8000</v>
      </c>
      <c r="E118" s="3">
        <v>8000</v>
      </c>
    </row>
    <row r="119" spans="1:6" x14ac:dyDescent="0.15">
      <c r="A119" s="9">
        <v>33</v>
      </c>
      <c r="B119" s="2" t="s">
        <v>81</v>
      </c>
      <c r="C119" s="2"/>
      <c r="D119" s="3">
        <v>11935</v>
      </c>
      <c r="E119" s="3">
        <v>11935</v>
      </c>
    </row>
    <row r="120" spans="1:6" x14ac:dyDescent="0.15">
      <c r="A120" s="9">
        <v>33</v>
      </c>
      <c r="B120" s="2" t="s">
        <v>82</v>
      </c>
      <c r="C120" s="2"/>
      <c r="D120" s="3">
        <v>19000</v>
      </c>
      <c r="E120" s="3">
        <v>19000</v>
      </c>
      <c r="F120" s="12"/>
    </row>
    <row r="121" spans="1:6" x14ac:dyDescent="0.15">
      <c r="A121" s="9">
        <v>33</v>
      </c>
      <c r="B121" s="58" t="s">
        <v>83</v>
      </c>
      <c r="C121" s="58"/>
      <c r="D121" s="3">
        <v>9000</v>
      </c>
      <c r="E121" s="3">
        <v>9000</v>
      </c>
      <c r="F121" s="12"/>
    </row>
    <row r="122" spans="1:6" x14ac:dyDescent="0.15">
      <c r="A122" s="9">
        <v>33</v>
      </c>
      <c r="B122" s="2" t="s">
        <v>84</v>
      </c>
      <c r="C122" s="2"/>
      <c r="D122" s="3">
        <v>8600</v>
      </c>
      <c r="E122" s="3">
        <v>8600</v>
      </c>
    </row>
    <row r="123" spans="1:6" x14ac:dyDescent="0.15">
      <c r="A123" s="9">
        <v>33</v>
      </c>
      <c r="B123" s="58" t="s">
        <v>85</v>
      </c>
      <c r="C123" s="58"/>
      <c r="D123" s="3">
        <v>5000</v>
      </c>
      <c r="E123" s="3">
        <v>5000</v>
      </c>
    </row>
    <row r="124" spans="1:6" x14ac:dyDescent="0.15">
      <c r="A124" s="9">
        <v>33</v>
      </c>
      <c r="B124" s="2" t="s">
        <v>86</v>
      </c>
      <c r="C124" s="2"/>
      <c r="D124" s="3">
        <v>9000</v>
      </c>
      <c r="E124" s="3">
        <v>9000</v>
      </c>
    </row>
    <row r="125" spans="1:6" x14ac:dyDescent="0.15">
      <c r="A125" s="9">
        <v>33</v>
      </c>
      <c r="B125" s="2" t="s">
        <v>87</v>
      </c>
      <c r="C125" s="2"/>
      <c r="D125" s="3">
        <v>15000</v>
      </c>
      <c r="E125" s="3">
        <v>15000</v>
      </c>
      <c r="F125" s="12"/>
    </row>
    <row r="126" spans="1:6" x14ac:dyDescent="0.15">
      <c r="A126" s="10">
        <v>25</v>
      </c>
      <c r="B126" s="59" t="s">
        <v>88</v>
      </c>
      <c r="C126" s="59"/>
      <c r="D126" s="11">
        <f>D56</f>
        <v>25000</v>
      </c>
      <c r="E126" s="11">
        <v>25000</v>
      </c>
    </row>
    <row r="127" spans="1:6" x14ac:dyDescent="0.15">
      <c r="A127" s="9">
        <v>22</v>
      </c>
      <c r="B127" s="2" t="s">
        <v>89</v>
      </c>
      <c r="C127" s="2"/>
      <c r="D127" s="3">
        <v>7500</v>
      </c>
      <c r="E127" s="3">
        <v>7500</v>
      </c>
    </row>
    <row r="128" spans="1:6" x14ac:dyDescent="0.15">
      <c r="A128" s="14">
        <v>34</v>
      </c>
      <c r="B128" s="37" t="s">
        <v>90</v>
      </c>
      <c r="C128" s="37"/>
      <c r="D128" s="15">
        <v>5000</v>
      </c>
      <c r="E128" s="15">
        <v>5000</v>
      </c>
    </row>
    <row r="129" spans="1:5" x14ac:dyDescent="0.15">
      <c r="A129" s="14">
        <v>35</v>
      </c>
      <c r="B129" s="37" t="s">
        <v>91</v>
      </c>
      <c r="C129" s="37"/>
      <c r="D129" s="15"/>
      <c r="E129" s="15"/>
    </row>
    <row r="130" spans="1:5" x14ac:dyDescent="0.15">
      <c r="A130" s="14">
        <v>36</v>
      </c>
      <c r="B130" s="37" t="s">
        <v>92</v>
      </c>
      <c r="C130" s="37"/>
      <c r="D130" s="15"/>
      <c r="E130" s="15"/>
    </row>
    <row r="131" spans="1:5" x14ac:dyDescent="0.15">
      <c r="A131" s="14">
        <v>37</v>
      </c>
      <c r="B131" s="37" t="s">
        <v>93</v>
      </c>
      <c r="C131" s="37"/>
      <c r="D131" s="15"/>
      <c r="E131" s="15"/>
    </row>
    <row r="132" spans="1:5" ht="14" thickBot="1" x14ac:dyDescent="0.2">
      <c r="A132" s="6"/>
      <c r="B132" s="39"/>
      <c r="C132" s="39"/>
      <c r="D132" s="3"/>
      <c r="E132" s="3"/>
    </row>
    <row r="133" spans="1:5" ht="14" thickBot="1" x14ac:dyDescent="0.2">
      <c r="A133" s="6"/>
      <c r="B133" s="26" t="s">
        <v>94</v>
      </c>
      <c r="C133" s="27"/>
      <c r="D133" s="28">
        <f>SUM(D60:D129)</f>
        <v>2221897.5</v>
      </c>
      <c r="E133" s="28">
        <f>SUM(E60:E129)</f>
        <v>1380721.04</v>
      </c>
    </row>
    <row r="134" spans="1:5" ht="14" thickBot="1" x14ac:dyDescent="0.2">
      <c r="A134" s="6"/>
      <c r="B134" s="2"/>
      <c r="C134" s="2"/>
      <c r="D134" s="3"/>
      <c r="E134" s="3"/>
    </row>
    <row r="135" spans="1:5" ht="14" thickBot="1" x14ac:dyDescent="0.2">
      <c r="A135" s="6"/>
      <c r="B135" s="2"/>
      <c r="C135" s="26" t="s">
        <v>95</v>
      </c>
      <c r="D135" s="28">
        <f>D58-D133</f>
        <v>229.375</v>
      </c>
      <c r="E135" s="28">
        <f>E58-E133</f>
        <v>-25309.040000000037</v>
      </c>
    </row>
    <row r="136" spans="1:5" x14ac:dyDescent="0.15">
      <c r="A136" s="6"/>
      <c r="B136" s="2"/>
      <c r="C136" s="2"/>
      <c r="D136" s="3"/>
      <c r="E136" s="3"/>
    </row>
    <row r="137" spans="1:5" x14ac:dyDescent="0.15">
      <c r="A137" s="61"/>
      <c r="B137" s="62"/>
      <c r="C137" s="62"/>
      <c r="D137" s="3"/>
      <c r="E137" s="3"/>
    </row>
    <row r="138" spans="1:5" x14ac:dyDescent="0.15">
      <c r="A138" s="6"/>
      <c r="B138" s="2"/>
      <c r="C138" s="2"/>
      <c r="D138" s="3"/>
      <c r="E138" s="3"/>
    </row>
    <row r="139" spans="1:5" x14ac:dyDescent="0.15">
      <c r="A139" s="6"/>
      <c r="B139" s="2"/>
      <c r="C139" s="2"/>
      <c r="D139" s="3"/>
      <c r="E139" s="3"/>
    </row>
    <row r="140" spans="1:5" x14ac:dyDescent="0.15">
      <c r="A140" s="6"/>
      <c r="B140" s="2"/>
      <c r="C140" s="22"/>
      <c r="D140" s="3"/>
      <c r="E140" s="3"/>
    </row>
    <row r="141" spans="1:5" x14ac:dyDescent="0.15">
      <c r="A141" s="6"/>
      <c r="B141" s="2"/>
      <c r="C141" s="2"/>
      <c r="D141" s="3"/>
      <c r="E141" s="3"/>
    </row>
    <row r="142" spans="1:5" x14ac:dyDescent="0.15">
      <c r="A142" s="6"/>
      <c r="B142" s="2"/>
      <c r="C142" s="2"/>
      <c r="D142" s="3"/>
      <c r="E142" s="3"/>
    </row>
    <row r="143" spans="1:5" x14ac:dyDescent="0.15">
      <c r="A143" s="6"/>
      <c r="B143" s="2"/>
      <c r="C143" s="2"/>
      <c r="D143" s="3"/>
      <c r="E143" s="3"/>
    </row>
    <row r="144" spans="1:5" x14ac:dyDescent="0.15">
      <c r="A144" s="6"/>
      <c r="B144" s="2"/>
      <c r="C144" s="2"/>
      <c r="D144" s="3"/>
      <c r="E144" s="3"/>
    </row>
    <row r="145" spans="1:5" x14ac:dyDescent="0.15">
      <c r="A145" s="6"/>
      <c r="B145" s="2"/>
      <c r="C145" s="2"/>
      <c r="D145" s="3"/>
      <c r="E145" s="3"/>
    </row>
  </sheetData>
  <mergeCells count="33">
    <mergeCell ref="B123:C123"/>
    <mergeCell ref="B126:C126"/>
    <mergeCell ref="A137:C137"/>
    <mergeCell ref="B87:C87"/>
    <mergeCell ref="B106:C106"/>
    <mergeCell ref="B109:C109"/>
    <mergeCell ref="B110:C110"/>
    <mergeCell ref="B117:C117"/>
    <mergeCell ref="B121:C121"/>
    <mergeCell ref="B85:C85"/>
    <mergeCell ref="B49:C49"/>
    <mergeCell ref="B50:C50"/>
    <mergeCell ref="B51:C51"/>
    <mergeCell ref="B56:C56"/>
    <mergeCell ref="B66:C66"/>
    <mergeCell ref="B67:C67"/>
    <mergeCell ref="B68:C68"/>
    <mergeCell ref="B69:C69"/>
    <mergeCell ref="B70:C70"/>
    <mergeCell ref="B72:C72"/>
    <mergeCell ref="B83:C83"/>
    <mergeCell ref="B46:C46"/>
    <mergeCell ref="B7:C7"/>
    <mergeCell ref="B10:C10"/>
    <mergeCell ref="B11:C11"/>
    <mergeCell ref="B12:C12"/>
    <mergeCell ref="B13:C13"/>
    <mergeCell ref="B14:C14"/>
    <mergeCell ref="B16:C16"/>
    <mergeCell ref="B31:C31"/>
    <mergeCell ref="B37:C37"/>
    <mergeCell ref="B38:C38"/>
    <mergeCell ref="B44:C44"/>
  </mergeCells>
  <phoneticPr fontId="2" type="noConversion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tabSelected="1" topLeftCell="A2" zoomScale="154" zoomScaleNormal="150" zoomScalePageLayoutView="150" workbookViewId="0">
      <selection activeCell="A2" sqref="A2"/>
    </sheetView>
  </sheetViews>
  <sheetFormatPr baseColWidth="10" defaultRowHeight="13" x14ac:dyDescent="0.15"/>
  <cols>
    <col min="1" max="1" width="9.33203125" customWidth="1"/>
    <col min="2" max="2" width="25" customWidth="1"/>
    <col min="3" max="3" width="27.1640625" customWidth="1"/>
    <col min="4" max="5" width="13.83203125" style="40" customWidth="1"/>
    <col min="6" max="6" width="14.33203125" style="46" customWidth="1"/>
    <col min="7" max="7" width="8.1640625" customWidth="1"/>
  </cols>
  <sheetData>
    <row r="1" spans="1:6" ht="16" x14ac:dyDescent="0.2">
      <c r="A1" s="57" t="s">
        <v>124</v>
      </c>
      <c r="F1" s="56"/>
    </row>
    <row r="2" spans="1:6" ht="14" thickBot="1" x14ac:dyDescent="0.2">
      <c r="B2" s="41"/>
      <c r="C2" s="41"/>
      <c r="D2" s="7" t="s">
        <v>44</v>
      </c>
      <c r="E2" s="7" t="s">
        <v>96</v>
      </c>
      <c r="F2" s="53" t="s">
        <v>119</v>
      </c>
    </row>
    <row r="3" spans="1:6" ht="14" thickBot="1" x14ac:dyDescent="0.2">
      <c r="A3" s="8" t="s">
        <v>45</v>
      </c>
      <c r="B3" s="41"/>
      <c r="C3" s="41"/>
      <c r="D3" s="3"/>
      <c r="E3" s="3"/>
    </row>
    <row r="4" spans="1:6" x14ac:dyDescent="0.15">
      <c r="A4" s="9"/>
      <c r="B4" s="41" t="s">
        <v>46</v>
      </c>
      <c r="C4" s="41"/>
      <c r="D4" s="3"/>
      <c r="E4" s="3"/>
    </row>
    <row r="5" spans="1:6" x14ac:dyDescent="0.15">
      <c r="A5" s="9">
        <v>1</v>
      </c>
      <c r="B5" s="58" t="s">
        <v>47</v>
      </c>
      <c r="C5" s="58"/>
      <c r="D5" s="3">
        <v>230000</v>
      </c>
      <c r="E5" s="3">
        <v>269850</v>
      </c>
      <c r="F5" s="46">
        <v>235000</v>
      </c>
    </row>
    <row r="6" spans="1:6" x14ac:dyDescent="0.15">
      <c r="A6" s="9">
        <v>2</v>
      </c>
      <c r="B6" s="41" t="s">
        <v>48</v>
      </c>
      <c r="C6" s="41"/>
      <c r="D6" s="3">
        <v>35000</v>
      </c>
      <c r="E6" s="3">
        <v>0</v>
      </c>
      <c r="F6" s="46">
        <v>60000</v>
      </c>
    </row>
    <row r="7" spans="1:6" x14ac:dyDescent="0.15">
      <c r="A7" s="9"/>
      <c r="B7" s="41"/>
      <c r="C7" s="41"/>
      <c r="D7" s="3"/>
      <c r="E7" s="3"/>
    </row>
    <row r="8" spans="1:6" x14ac:dyDescent="0.15">
      <c r="A8" s="9"/>
      <c r="B8" s="58" t="s">
        <v>49</v>
      </c>
      <c r="C8" s="58"/>
      <c r="D8" s="3"/>
      <c r="E8" s="3"/>
    </row>
    <row r="9" spans="1:6" x14ac:dyDescent="0.15">
      <c r="A9" s="10">
        <v>3</v>
      </c>
      <c r="B9" s="59" t="s">
        <v>50</v>
      </c>
      <c r="C9" s="59"/>
      <c r="D9" s="11">
        <v>50000</v>
      </c>
      <c r="E9" s="11">
        <f>21*2000</f>
        <v>42000</v>
      </c>
      <c r="F9" s="11">
        <f>21*2000</f>
        <v>42000</v>
      </c>
    </row>
    <row r="10" spans="1:6" x14ac:dyDescent="0.15">
      <c r="A10" s="10">
        <v>3</v>
      </c>
      <c r="B10" s="59" t="s">
        <v>51</v>
      </c>
      <c r="C10" s="59"/>
      <c r="D10" s="11">
        <v>40000</v>
      </c>
      <c r="E10" s="11">
        <v>30000</v>
      </c>
      <c r="F10" s="11">
        <v>30000</v>
      </c>
    </row>
    <row r="11" spans="1:6" x14ac:dyDescent="0.15">
      <c r="A11" s="10">
        <v>3</v>
      </c>
      <c r="B11" s="59" t="s">
        <v>52</v>
      </c>
      <c r="C11" s="59"/>
      <c r="D11" s="11">
        <v>7500</v>
      </c>
      <c r="E11" s="11">
        <v>7500</v>
      </c>
      <c r="F11" s="11">
        <v>7500</v>
      </c>
    </row>
    <row r="12" spans="1:6" x14ac:dyDescent="0.15">
      <c r="A12" s="10">
        <v>3</v>
      </c>
      <c r="B12" s="59" t="s">
        <v>53</v>
      </c>
      <c r="C12" s="59"/>
      <c r="D12" s="11">
        <v>60000</v>
      </c>
      <c r="E12" s="11">
        <v>5000</v>
      </c>
      <c r="F12" s="11">
        <v>5000</v>
      </c>
    </row>
    <row r="13" spans="1:6" x14ac:dyDescent="0.15">
      <c r="A13" s="10">
        <v>3</v>
      </c>
      <c r="B13" s="42" t="s">
        <v>0</v>
      </c>
      <c r="C13" s="42"/>
      <c r="D13" s="11">
        <v>11000</v>
      </c>
      <c r="E13" s="11">
        <f>4000+7000</f>
        <v>11000</v>
      </c>
      <c r="F13" s="11">
        <f>4000+7000</f>
        <v>11000</v>
      </c>
    </row>
    <row r="14" spans="1:6" x14ac:dyDescent="0.15">
      <c r="A14" s="14">
        <v>4</v>
      </c>
      <c r="B14" s="60" t="s">
        <v>1</v>
      </c>
      <c r="C14" s="60"/>
      <c r="D14" s="15">
        <v>25250</v>
      </c>
      <c r="E14" s="15">
        <f>11000+10000</f>
        <v>21000</v>
      </c>
      <c r="F14" s="46">
        <v>10000</v>
      </c>
    </row>
    <row r="15" spans="1:6" x14ac:dyDescent="0.15">
      <c r="A15" s="10">
        <v>5</v>
      </c>
      <c r="B15" s="42" t="s">
        <v>2</v>
      </c>
      <c r="C15" s="42"/>
      <c r="D15" s="11">
        <v>20000</v>
      </c>
      <c r="E15" s="11">
        <v>17000</v>
      </c>
      <c r="F15" s="11">
        <v>17000</v>
      </c>
    </row>
    <row r="16" spans="1:6" x14ac:dyDescent="0.15">
      <c r="A16" s="16">
        <v>6</v>
      </c>
      <c r="B16" s="17" t="s">
        <v>3</v>
      </c>
      <c r="C16" s="17"/>
      <c r="D16" s="18"/>
      <c r="E16" s="18"/>
    </row>
    <row r="17" spans="1:7" x14ac:dyDescent="0.15">
      <c r="A17" s="16">
        <v>7</v>
      </c>
      <c r="B17" s="17" t="s">
        <v>4</v>
      </c>
      <c r="C17" s="17"/>
      <c r="D17" s="18">
        <f>(34000*3/4)+15000+18000</f>
        <v>58500</v>
      </c>
      <c r="E17" s="18">
        <f>2715*12</f>
        <v>32580</v>
      </c>
      <c r="F17" s="18">
        <v>45000</v>
      </c>
      <c r="G17" s="19"/>
    </row>
    <row r="18" spans="1:7" x14ac:dyDescent="0.15">
      <c r="A18" s="16">
        <v>6</v>
      </c>
      <c r="B18" s="17" t="s">
        <v>97</v>
      </c>
      <c r="C18" s="17"/>
      <c r="D18" s="18">
        <f>(769250*0.17*3/4)+34935</f>
        <v>133014.375</v>
      </c>
      <c r="E18" s="18">
        <f>113682+10000</f>
        <v>123682</v>
      </c>
      <c r="F18" s="18">
        <v>40000</v>
      </c>
      <c r="G18" s="19"/>
    </row>
    <row r="19" spans="1:7" x14ac:dyDescent="0.15">
      <c r="A19" s="16">
        <v>6</v>
      </c>
      <c r="B19" s="17" t="s">
        <v>11</v>
      </c>
      <c r="C19" s="17"/>
      <c r="D19" s="18">
        <v>6000</v>
      </c>
      <c r="E19" s="18">
        <v>6000</v>
      </c>
      <c r="F19" s="18">
        <v>0</v>
      </c>
      <c r="G19" s="22"/>
    </row>
    <row r="20" spans="1:7" x14ac:dyDescent="0.15">
      <c r="A20" s="9"/>
      <c r="B20" s="41"/>
      <c r="C20" s="41"/>
      <c r="D20" s="3"/>
      <c r="E20" s="3"/>
      <c r="F20" s="22"/>
      <c r="G20" s="23"/>
    </row>
    <row r="21" spans="1:7" x14ac:dyDescent="0.15">
      <c r="A21" s="9"/>
      <c r="B21" s="41" t="s">
        <v>12</v>
      </c>
      <c r="C21" s="41"/>
      <c r="D21" s="3"/>
      <c r="E21" s="3"/>
    </row>
    <row r="22" spans="1:7" x14ac:dyDescent="0.15">
      <c r="A22" s="9">
        <v>8</v>
      </c>
      <c r="B22" s="58" t="s">
        <v>13</v>
      </c>
      <c r="C22" s="58"/>
      <c r="D22" s="3">
        <v>400000</v>
      </c>
      <c r="E22" s="3">
        <v>385000</v>
      </c>
      <c r="F22" s="46">
        <f>200000+100000+(125000/2)</f>
        <v>362500</v>
      </c>
    </row>
    <row r="23" spans="1:7" x14ac:dyDescent="0.15">
      <c r="A23" s="9">
        <v>9</v>
      </c>
      <c r="B23" s="41" t="s">
        <v>14</v>
      </c>
      <c r="C23" s="41"/>
      <c r="D23" s="3">
        <v>56000</v>
      </c>
      <c r="E23" s="3">
        <v>45000</v>
      </c>
      <c r="F23" s="46">
        <v>35000</v>
      </c>
    </row>
    <row r="24" spans="1:7" x14ac:dyDescent="0.15">
      <c r="A24" s="9">
        <v>10</v>
      </c>
      <c r="B24" s="41" t="s">
        <v>15</v>
      </c>
      <c r="C24" s="41"/>
      <c r="D24" s="3"/>
      <c r="E24" s="3">
        <v>7500</v>
      </c>
      <c r="F24" s="52"/>
    </row>
    <row r="25" spans="1:7" x14ac:dyDescent="0.15">
      <c r="A25" s="9"/>
      <c r="B25" s="41"/>
      <c r="C25" s="41"/>
      <c r="D25" s="3"/>
      <c r="E25" s="3"/>
    </row>
    <row r="26" spans="1:7" x14ac:dyDescent="0.15">
      <c r="A26" s="9"/>
      <c r="B26" s="41" t="s">
        <v>17</v>
      </c>
      <c r="C26" s="41"/>
      <c r="D26" s="3"/>
      <c r="E26" s="3"/>
    </row>
    <row r="27" spans="1:7" x14ac:dyDescent="0.15">
      <c r="A27" s="10">
        <v>11</v>
      </c>
      <c r="B27" s="59" t="s">
        <v>18</v>
      </c>
      <c r="C27" s="59"/>
      <c r="D27" s="11">
        <v>15000</v>
      </c>
      <c r="E27" s="11">
        <v>15000</v>
      </c>
      <c r="F27" s="11">
        <v>15000</v>
      </c>
    </row>
    <row r="28" spans="1:7" x14ac:dyDescent="0.15">
      <c r="A28" s="10">
        <v>11</v>
      </c>
      <c r="B28" s="59" t="s">
        <v>19</v>
      </c>
      <c r="C28" s="59"/>
      <c r="D28" s="11">
        <v>20000</v>
      </c>
      <c r="E28" s="11">
        <v>20000</v>
      </c>
      <c r="F28" s="11">
        <v>20000</v>
      </c>
    </row>
    <row r="29" spans="1:7" x14ac:dyDescent="0.15">
      <c r="A29" s="9"/>
      <c r="B29" s="41" t="s">
        <v>20</v>
      </c>
      <c r="C29" s="41"/>
      <c r="D29" s="3"/>
      <c r="E29" s="3"/>
    </row>
    <row r="30" spans="1:7" x14ac:dyDescent="0.15">
      <c r="A30" s="9"/>
      <c r="B30" s="41"/>
      <c r="C30" s="41"/>
      <c r="D30" s="3"/>
      <c r="E30" s="3"/>
    </row>
    <row r="31" spans="1:7" x14ac:dyDescent="0.15">
      <c r="A31" s="9"/>
      <c r="B31" s="41" t="s">
        <v>21</v>
      </c>
      <c r="C31" s="41"/>
      <c r="D31" s="3"/>
      <c r="E31" s="3"/>
    </row>
    <row r="32" spans="1:7" x14ac:dyDescent="0.15">
      <c r="A32" s="9">
        <v>12</v>
      </c>
      <c r="B32" s="41" t="s">
        <v>22</v>
      </c>
      <c r="C32" s="41"/>
      <c r="D32" s="3">
        <v>80000</v>
      </c>
      <c r="E32" s="3">
        <v>115000</v>
      </c>
      <c r="F32" s="46">
        <v>85000</v>
      </c>
    </row>
    <row r="33" spans="1:6" x14ac:dyDescent="0.15">
      <c r="A33" s="9">
        <v>13</v>
      </c>
      <c r="B33" s="41" t="s">
        <v>23</v>
      </c>
      <c r="C33" s="41"/>
      <c r="D33" s="3">
        <v>75000</v>
      </c>
      <c r="E33" s="3">
        <v>73000</v>
      </c>
      <c r="F33" s="46">
        <v>72000</v>
      </c>
    </row>
    <row r="34" spans="1:6" x14ac:dyDescent="0.15">
      <c r="A34" s="9">
        <v>14</v>
      </c>
      <c r="B34" s="58" t="s">
        <v>24</v>
      </c>
      <c r="C34" s="58"/>
      <c r="D34" s="3">
        <v>24000</v>
      </c>
      <c r="E34" s="3">
        <v>24832</v>
      </c>
      <c r="F34" s="46">
        <v>25500</v>
      </c>
    </row>
    <row r="35" spans="1:6" x14ac:dyDescent="0.15">
      <c r="A35" s="9">
        <v>15</v>
      </c>
      <c r="B35" s="41" t="s">
        <v>118</v>
      </c>
      <c r="C35" s="41"/>
      <c r="D35" s="3">
        <v>4000</v>
      </c>
      <c r="E35" s="3">
        <f>2033+3128+375.5+(167*3)+(144-60)+2000</f>
        <v>8121.5</v>
      </c>
      <c r="F35" s="46">
        <v>10000</v>
      </c>
    </row>
    <row r="36" spans="1:6" x14ac:dyDescent="0.15">
      <c r="A36" s="9">
        <v>16</v>
      </c>
      <c r="B36" s="58" t="s">
        <v>26</v>
      </c>
      <c r="C36" s="58"/>
      <c r="D36" s="3">
        <v>7750</v>
      </c>
      <c r="E36" s="3">
        <v>8400</v>
      </c>
      <c r="F36" s="46">
        <v>8600</v>
      </c>
    </row>
    <row r="37" spans="1:6" x14ac:dyDescent="0.15">
      <c r="A37" s="9"/>
      <c r="B37" s="41" t="s">
        <v>27</v>
      </c>
      <c r="C37" s="41"/>
      <c r="D37" s="3"/>
      <c r="E37" s="3"/>
    </row>
    <row r="38" spans="1:6" x14ac:dyDescent="0.15">
      <c r="A38" s="10">
        <v>17</v>
      </c>
      <c r="B38" s="59" t="s">
        <v>28</v>
      </c>
      <c r="C38" s="59"/>
      <c r="D38" s="11">
        <v>5000</v>
      </c>
      <c r="E38" s="11">
        <v>1000</v>
      </c>
      <c r="F38" s="11">
        <v>2000</v>
      </c>
    </row>
    <row r="39" spans="1:6" x14ac:dyDescent="0.15">
      <c r="A39" s="10">
        <v>18</v>
      </c>
      <c r="B39" s="59" t="s">
        <v>29</v>
      </c>
      <c r="C39" s="59"/>
      <c r="D39" s="11"/>
      <c r="E39" s="11"/>
      <c r="F39" s="11">
        <v>2000</v>
      </c>
    </row>
    <row r="40" spans="1:6" x14ac:dyDescent="0.15">
      <c r="A40" s="9">
        <v>18</v>
      </c>
      <c r="B40" s="58" t="s">
        <v>30</v>
      </c>
      <c r="C40" s="58"/>
      <c r="D40" s="3">
        <v>2500</v>
      </c>
      <c r="E40" s="3">
        <v>1500</v>
      </c>
      <c r="F40" s="46">
        <v>1500</v>
      </c>
    </row>
    <row r="41" spans="1:6" x14ac:dyDescent="0.15">
      <c r="A41" s="9">
        <v>19</v>
      </c>
      <c r="B41" s="41" t="s">
        <v>122</v>
      </c>
      <c r="C41" s="41"/>
      <c r="D41" s="4"/>
      <c r="E41" s="3"/>
      <c r="F41" s="51">
        <v>100000</v>
      </c>
    </row>
    <row r="42" spans="1:6" x14ac:dyDescent="0.15">
      <c r="A42" s="9"/>
      <c r="B42" s="41" t="s">
        <v>32</v>
      </c>
      <c r="C42" s="41"/>
      <c r="D42" s="3"/>
      <c r="E42" s="3"/>
    </row>
    <row r="43" spans="1:6" x14ac:dyDescent="0.15">
      <c r="A43" s="10">
        <v>20</v>
      </c>
      <c r="B43" s="42" t="s">
        <v>120</v>
      </c>
      <c r="C43" s="42"/>
      <c r="D43" s="15">
        <v>0</v>
      </c>
      <c r="E43" s="15">
        <v>0</v>
      </c>
      <c r="F43" s="46">
        <v>10000</v>
      </c>
    </row>
    <row r="44" spans="1:6" x14ac:dyDescent="0.15">
      <c r="A44" s="10">
        <v>21</v>
      </c>
      <c r="B44" s="59" t="s">
        <v>34</v>
      </c>
      <c r="C44" s="59"/>
      <c r="D44" s="11">
        <v>25000</v>
      </c>
      <c r="E44" s="11">
        <v>25000</v>
      </c>
      <c r="F44" s="11">
        <v>50000</v>
      </c>
    </row>
    <row r="45" spans="1:6" ht="14" thickBot="1" x14ac:dyDescent="0.2">
      <c r="B45" s="41"/>
      <c r="D45" s="25"/>
      <c r="E45" s="25"/>
    </row>
    <row r="46" spans="1:6" ht="14" thickBot="1" x14ac:dyDescent="0.2">
      <c r="A46" s="6"/>
      <c r="B46" s="26" t="s">
        <v>35</v>
      </c>
      <c r="C46" s="27"/>
      <c r="D46" s="28">
        <f>SUM(D4:D45)</f>
        <v>1390514.375</v>
      </c>
      <c r="E46" s="28">
        <f>SUM(E4:E45)</f>
        <v>1294965.5</v>
      </c>
      <c r="F46" s="28">
        <f>SUM(F4:F45)</f>
        <v>1301600</v>
      </c>
    </row>
    <row r="47" spans="1:6" x14ac:dyDescent="0.15">
      <c r="A47" s="6"/>
      <c r="B47" s="29"/>
      <c r="C47" s="29"/>
      <c r="D47" s="30"/>
      <c r="E47" s="30"/>
    </row>
    <row r="48" spans="1:6" ht="14" thickBot="1" x14ac:dyDescent="0.2">
      <c r="A48" s="6"/>
      <c r="B48" s="29"/>
      <c r="C48" s="29"/>
      <c r="D48" s="3"/>
      <c r="E48" s="3"/>
    </row>
    <row r="49" spans="1:7" ht="14" thickBot="1" x14ac:dyDescent="0.2">
      <c r="A49" s="8" t="s">
        <v>36</v>
      </c>
      <c r="B49" s="41"/>
      <c r="C49" s="41"/>
      <c r="D49" s="3"/>
      <c r="E49" s="3"/>
    </row>
    <row r="50" spans="1:7" x14ac:dyDescent="0.15">
      <c r="A50" s="9"/>
      <c r="B50" s="41" t="s">
        <v>46</v>
      </c>
      <c r="C50" s="41"/>
      <c r="D50" s="3"/>
      <c r="E50" s="3"/>
    </row>
    <row r="51" spans="1:7" x14ac:dyDescent="0.15">
      <c r="A51" s="9">
        <v>1</v>
      </c>
      <c r="B51" s="41" t="s">
        <v>37</v>
      </c>
      <c r="C51" s="41"/>
      <c r="D51" s="3">
        <v>120000</v>
      </c>
      <c r="E51" s="3">
        <v>132000</v>
      </c>
      <c r="F51" s="46">
        <v>105000</v>
      </c>
    </row>
    <row r="52" spans="1:7" x14ac:dyDescent="0.15">
      <c r="A52" s="9">
        <v>2</v>
      </c>
      <c r="B52" s="41" t="s">
        <v>38</v>
      </c>
      <c r="C52" s="41"/>
      <c r="D52" s="3">
        <f>D6-7500</f>
        <v>27500</v>
      </c>
      <c r="E52" s="3">
        <v>0</v>
      </c>
      <c r="F52" s="46">
        <v>55000</v>
      </c>
    </row>
    <row r="53" spans="1:7" x14ac:dyDescent="0.15">
      <c r="A53" s="9"/>
      <c r="B53" s="58" t="s">
        <v>49</v>
      </c>
      <c r="C53" s="58"/>
      <c r="D53" s="3"/>
      <c r="E53" s="3"/>
    </row>
    <row r="54" spans="1:7" x14ac:dyDescent="0.15">
      <c r="A54" s="10">
        <v>3</v>
      </c>
      <c r="B54" s="59" t="str">
        <f>B9</f>
        <v xml:space="preserve">      -Fellowships for Dig Scholarships (Heritage, Platt, membership etc. distribution)</v>
      </c>
      <c r="C54" s="59"/>
      <c r="D54" s="11">
        <f t="shared" ref="D54:E58" si="0">D9</f>
        <v>50000</v>
      </c>
      <c r="E54" s="11">
        <f t="shared" si="0"/>
        <v>42000</v>
      </c>
      <c r="F54" s="11">
        <f t="shared" ref="F54" si="1">F9</f>
        <v>42000</v>
      </c>
    </row>
    <row r="55" spans="1:7" x14ac:dyDescent="0.15">
      <c r="A55" s="10">
        <v>3</v>
      </c>
      <c r="B55" s="59" t="str">
        <f>B10</f>
        <v xml:space="preserve">      -Fellowships funds placed in endowment (e.g., MacAllister, Strange/Midkiff, Meyers)</v>
      </c>
      <c r="C55" s="59"/>
      <c r="D55" s="11">
        <f t="shared" si="0"/>
        <v>40000</v>
      </c>
      <c r="E55" s="11">
        <f t="shared" si="0"/>
        <v>30000</v>
      </c>
      <c r="F55" s="11">
        <f t="shared" ref="F55" si="2">F10</f>
        <v>30000</v>
      </c>
    </row>
    <row r="56" spans="1:7" x14ac:dyDescent="0.15">
      <c r="A56" s="10">
        <v>3</v>
      </c>
      <c r="B56" s="59" t="str">
        <f>B11</f>
        <v xml:space="preserve">      -Field Research Support Awarded (Harris and Seger distribution)</v>
      </c>
      <c r="C56" s="59"/>
      <c r="D56" s="11">
        <f t="shared" si="0"/>
        <v>7500</v>
      </c>
      <c r="E56" s="11">
        <f t="shared" si="0"/>
        <v>7500</v>
      </c>
      <c r="F56" s="11">
        <f t="shared" ref="F56" si="3">F11</f>
        <v>7500</v>
      </c>
    </row>
    <row r="57" spans="1:7" x14ac:dyDescent="0.15">
      <c r="A57" s="10">
        <v>3</v>
      </c>
      <c r="B57" s="59" t="str">
        <f>B12</f>
        <v xml:space="preserve">      -Field Research funds placed in endowment (Harris, Seger, Geraty)</v>
      </c>
      <c r="C57" s="59"/>
      <c r="D57" s="11">
        <f t="shared" si="0"/>
        <v>60000</v>
      </c>
      <c r="E57" s="11">
        <f t="shared" si="0"/>
        <v>5000</v>
      </c>
      <c r="F57" s="11">
        <f t="shared" ref="F57" si="4">F12</f>
        <v>5000</v>
      </c>
    </row>
    <row r="58" spans="1:7" x14ac:dyDescent="0.15">
      <c r="A58" s="10">
        <v>3</v>
      </c>
      <c r="B58" s="42" t="str">
        <f>B13</f>
        <v xml:space="preserve">      -Fellowships for members (e.g., travel to collections; Dever Fellowship)</v>
      </c>
      <c r="C58" s="42"/>
      <c r="D58" s="11">
        <f t="shared" si="0"/>
        <v>11000</v>
      </c>
      <c r="E58" s="11">
        <f t="shared" si="0"/>
        <v>11000</v>
      </c>
      <c r="F58" s="11">
        <f t="shared" ref="F58" si="5">F13</f>
        <v>11000</v>
      </c>
    </row>
    <row r="59" spans="1:7" x14ac:dyDescent="0.15">
      <c r="A59" s="9">
        <v>4</v>
      </c>
      <c r="B59" s="58" t="s">
        <v>39</v>
      </c>
      <c r="C59" s="58"/>
      <c r="D59" s="3"/>
      <c r="E59" s="3"/>
    </row>
    <row r="60" spans="1:7" x14ac:dyDescent="0.15">
      <c r="A60" s="10">
        <v>5</v>
      </c>
      <c r="B60" s="42" t="s">
        <v>40</v>
      </c>
      <c r="C60" s="42"/>
      <c r="D60" s="11">
        <f>D15-7500</f>
        <v>12500</v>
      </c>
      <c r="E60" s="11">
        <f>E15</f>
        <v>17000</v>
      </c>
      <c r="F60" s="11">
        <f>F15-7500-3000</f>
        <v>6500</v>
      </c>
    </row>
    <row r="61" spans="1:7" x14ac:dyDescent="0.15">
      <c r="A61" s="16">
        <v>6</v>
      </c>
      <c r="B61" s="17" t="s">
        <v>43</v>
      </c>
      <c r="C61" s="17"/>
      <c r="D61" s="18">
        <f>D19</f>
        <v>6000</v>
      </c>
      <c r="E61" s="18">
        <v>6000</v>
      </c>
      <c r="F61" s="52"/>
      <c r="G61" s="22"/>
    </row>
    <row r="62" spans="1:7" x14ac:dyDescent="0.15">
      <c r="A62" s="9">
        <v>22</v>
      </c>
      <c r="B62" s="58" t="s">
        <v>54</v>
      </c>
      <c r="C62" s="58"/>
      <c r="D62" s="3">
        <f>2500+10000</f>
        <v>12500</v>
      </c>
      <c r="E62" s="3">
        <f>2500+10000</f>
        <v>12500</v>
      </c>
      <c r="F62" s="50">
        <v>17500</v>
      </c>
    </row>
    <row r="63" spans="1:7" x14ac:dyDescent="0.15">
      <c r="A63" s="9">
        <v>22</v>
      </c>
      <c r="B63" s="41" t="s">
        <v>55</v>
      </c>
      <c r="C63" s="41"/>
      <c r="D63" s="3">
        <v>2000</v>
      </c>
      <c r="E63" s="3">
        <v>500</v>
      </c>
      <c r="F63" s="50">
        <v>2000</v>
      </c>
    </row>
    <row r="64" spans="1:7" x14ac:dyDescent="0.15">
      <c r="A64" s="9">
        <v>22</v>
      </c>
      <c r="B64" s="58" t="s">
        <v>56</v>
      </c>
      <c r="C64" s="58"/>
      <c r="D64" s="3">
        <v>4000</v>
      </c>
      <c r="E64" s="3">
        <v>4000</v>
      </c>
      <c r="F64" s="3">
        <v>4000</v>
      </c>
    </row>
    <row r="65" spans="1:6" x14ac:dyDescent="0.15">
      <c r="A65" s="9">
        <v>23</v>
      </c>
      <c r="B65" s="58" t="s">
        <v>58</v>
      </c>
      <c r="C65" s="58"/>
      <c r="D65" s="3">
        <v>10000</v>
      </c>
      <c r="E65" s="3">
        <v>22000</v>
      </c>
      <c r="F65" s="50">
        <v>25000</v>
      </c>
    </row>
    <row r="66" spans="1:6" x14ac:dyDescent="0.15">
      <c r="A66" s="9">
        <v>22</v>
      </c>
      <c r="B66" s="41" t="s">
        <v>59</v>
      </c>
      <c r="C66" s="41"/>
      <c r="D66" s="3">
        <v>3000</v>
      </c>
      <c r="E66" s="3">
        <v>3000</v>
      </c>
      <c r="F66" s="50">
        <v>3000</v>
      </c>
    </row>
    <row r="67" spans="1:6" x14ac:dyDescent="0.15">
      <c r="A67" s="9"/>
      <c r="B67" s="41" t="s">
        <v>60</v>
      </c>
      <c r="C67" s="41"/>
      <c r="D67" s="3"/>
      <c r="E67" s="3"/>
      <c r="F67" s="50"/>
    </row>
    <row r="68" spans="1:6" x14ac:dyDescent="0.15">
      <c r="A68" s="9">
        <v>22</v>
      </c>
      <c r="B68" s="41" t="s">
        <v>62</v>
      </c>
      <c r="C68" s="41"/>
      <c r="D68" s="3">
        <v>500</v>
      </c>
      <c r="E68" s="3">
        <v>100</v>
      </c>
      <c r="F68" s="50">
        <v>500</v>
      </c>
    </row>
    <row r="69" spans="1:6" x14ac:dyDescent="0.15">
      <c r="A69" s="9"/>
      <c r="B69" s="41" t="s">
        <v>12</v>
      </c>
      <c r="C69" s="41"/>
      <c r="D69" s="3"/>
      <c r="E69" s="3"/>
      <c r="F69" s="50"/>
    </row>
    <row r="70" spans="1:6" x14ac:dyDescent="0.15">
      <c r="A70" s="32">
        <v>8</v>
      </c>
      <c r="B70" s="41" t="s">
        <v>64</v>
      </c>
      <c r="C70" s="41"/>
      <c r="D70" s="3">
        <v>76000</v>
      </c>
      <c r="E70" s="3">
        <v>76000</v>
      </c>
      <c r="F70" s="50">
        <v>45000</v>
      </c>
    </row>
    <row r="71" spans="1:6" x14ac:dyDescent="0.15">
      <c r="A71" s="32">
        <v>8</v>
      </c>
      <c r="B71" s="41" t="s">
        <v>65</v>
      </c>
      <c r="C71" s="41"/>
      <c r="D71" s="3">
        <v>68000</v>
      </c>
      <c r="E71" s="3">
        <v>65000</v>
      </c>
      <c r="F71" s="50">
        <v>35000</v>
      </c>
    </row>
    <row r="72" spans="1:6" x14ac:dyDescent="0.15">
      <c r="A72" s="32">
        <v>8</v>
      </c>
      <c r="B72" s="41" t="s">
        <v>66</v>
      </c>
      <c r="C72" s="41"/>
      <c r="D72" s="3">
        <v>3500</v>
      </c>
      <c r="E72" s="3">
        <v>4500</v>
      </c>
      <c r="F72" s="46">
        <v>0</v>
      </c>
    </row>
    <row r="73" spans="1:6" x14ac:dyDescent="0.15">
      <c r="A73" s="33">
        <v>5</v>
      </c>
      <c r="B73" s="42" t="s">
        <v>67</v>
      </c>
      <c r="C73" s="42"/>
      <c r="D73" s="11">
        <v>7500</v>
      </c>
      <c r="E73" s="11">
        <v>7500</v>
      </c>
      <c r="F73" s="11">
        <v>7500</v>
      </c>
    </row>
    <row r="74" spans="1:6" s="49" customFormat="1" x14ac:dyDescent="0.15">
      <c r="A74" s="48">
        <v>8</v>
      </c>
      <c r="B74" s="45" t="s">
        <v>68</v>
      </c>
      <c r="C74" s="45"/>
      <c r="D74" s="15">
        <v>8000</v>
      </c>
      <c r="E74" s="15">
        <v>8000</v>
      </c>
      <c r="F74" s="47">
        <v>4000</v>
      </c>
    </row>
    <row r="75" spans="1:6" x14ac:dyDescent="0.15">
      <c r="A75" s="9">
        <v>8</v>
      </c>
      <c r="B75" s="41" t="s">
        <v>69</v>
      </c>
      <c r="C75" s="41"/>
      <c r="D75" s="3">
        <v>1250</v>
      </c>
      <c r="E75" s="3">
        <f>1250+3000</f>
        <v>4250</v>
      </c>
      <c r="F75" s="46">
        <v>2500</v>
      </c>
    </row>
    <row r="76" spans="1:6" x14ac:dyDescent="0.15">
      <c r="A76" s="9">
        <v>8</v>
      </c>
      <c r="B76" s="41" t="s">
        <v>70</v>
      </c>
      <c r="C76" s="41"/>
      <c r="D76" s="3">
        <v>30000</v>
      </c>
      <c r="E76" s="3">
        <v>30000</v>
      </c>
      <c r="F76" s="46">
        <v>32000</v>
      </c>
    </row>
    <row r="77" spans="1:6" s="38" customFormat="1" x14ac:dyDescent="0.15">
      <c r="A77" s="14"/>
      <c r="B77" s="45" t="s">
        <v>17</v>
      </c>
      <c r="C77" s="45"/>
      <c r="D77" s="15"/>
      <c r="E77" s="15"/>
      <c r="F77" s="47"/>
    </row>
    <row r="78" spans="1:6" x14ac:dyDescent="0.15">
      <c r="A78" s="10">
        <v>11</v>
      </c>
      <c r="B78" s="42" t="s">
        <v>71</v>
      </c>
      <c r="C78" s="42"/>
      <c r="D78" s="11">
        <v>15000</v>
      </c>
      <c r="E78" s="11">
        <v>15000</v>
      </c>
      <c r="F78" s="11">
        <v>15000</v>
      </c>
    </row>
    <row r="79" spans="1:6" x14ac:dyDescent="0.15">
      <c r="A79" s="10">
        <v>11</v>
      </c>
      <c r="B79" s="59" t="s">
        <v>72</v>
      </c>
      <c r="C79" s="59"/>
      <c r="D79" s="11">
        <v>20000</v>
      </c>
      <c r="E79" s="11">
        <v>20000</v>
      </c>
      <c r="F79" s="11">
        <v>20000</v>
      </c>
    </row>
    <row r="80" spans="1:6" x14ac:dyDescent="0.15">
      <c r="A80" s="9"/>
      <c r="B80" s="41" t="s">
        <v>73</v>
      </c>
      <c r="C80" s="41"/>
      <c r="D80" s="3"/>
      <c r="E80" s="3"/>
    </row>
    <row r="81" spans="1:10" x14ac:dyDescent="0.15">
      <c r="A81" s="10">
        <v>17</v>
      </c>
      <c r="B81" s="59" t="s">
        <v>28</v>
      </c>
      <c r="C81" s="59"/>
      <c r="D81" s="11">
        <v>5000</v>
      </c>
      <c r="E81" s="11">
        <f>E38</f>
        <v>1000</v>
      </c>
      <c r="F81" s="11">
        <f>F38</f>
        <v>2000</v>
      </c>
    </row>
    <row r="82" spans="1:10" x14ac:dyDescent="0.15">
      <c r="A82" s="10">
        <v>18</v>
      </c>
      <c r="B82" s="59" t="s">
        <v>29</v>
      </c>
      <c r="C82" s="59"/>
      <c r="D82" s="11">
        <f>D39</f>
        <v>0</v>
      </c>
      <c r="E82" s="11"/>
      <c r="F82" s="11">
        <f>F39</f>
        <v>2000</v>
      </c>
    </row>
    <row r="83" spans="1:10" x14ac:dyDescent="0.15">
      <c r="A83" s="6"/>
      <c r="B83" s="50" t="s">
        <v>121</v>
      </c>
      <c r="C83" s="50"/>
      <c r="D83" s="3"/>
      <c r="E83" s="3"/>
      <c r="F83" s="51"/>
    </row>
    <row r="84" spans="1:10" x14ac:dyDescent="0.15">
      <c r="A84" s="9">
        <v>24</v>
      </c>
      <c r="B84" s="41" t="s">
        <v>75</v>
      </c>
      <c r="C84" s="41"/>
      <c r="D84" s="3">
        <v>600000</v>
      </c>
      <c r="E84" s="3">
        <v>552000</v>
      </c>
      <c r="F84" s="3">
        <v>525000</v>
      </c>
      <c r="H84" s="54"/>
      <c r="I84" s="54"/>
      <c r="J84" s="54">
        <v>145000</v>
      </c>
    </row>
    <row r="85" spans="1:10" x14ac:dyDescent="0.15">
      <c r="A85" s="10">
        <v>20</v>
      </c>
      <c r="B85" s="42" t="s">
        <v>76</v>
      </c>
      <c r="C85" s="42"/>
      <c r="D85" s="15">
        <v>36000</v>
      </c>
      <c r="E85" s="15">
        <v>50000</v>
      </c>
      <c r="F85" s="46">
        <f>(1500*9)+F43</f>
        <v>23500</v>
      </c>
      <c r="G85" s="40"/>
      <c r="H85" s="54"/>
      <c r="I85" s="54"/>
      <c r="J85" s="54">
        <v>65000</v>
      </c>
    </row>
    <row r="86" spans="1:10" s="38" customFormat="1" x14ac:dyDescent="0.15">
      <c r="A86" s="14">
        <v>19</v>
      </c>
      <c r="B86" s="43" t="s">
        <v>123</v>
      </c>
      <c r="C86" s="43"/>
      <c r="D86" s="15">
        <v>10000</v>
      </c>
      <c r="E86" s="15">
        <v>20000</v>
      </c>
      <c r="F86" s="47">
        <v>100000</v>
      </c>
      <c r="H86" s="55"/>
      <c r="I86" s="55"/>
      <c r="J86" s="55">
        <v>70000</v>
      </c>
    </row>
    <row r="87" spans="1:10" x14ac:dyDescent="0.15">
      <c r="A87" s="9">
        <v>25</v>
      </c>
      <c r="B87" s="41" t="s">
        <v>78</v>
      </c>
      <c r="C87" s="41"/>
      <c r="D87" s="3">
        <v>8000</v>
      </c>
      <c r="E87" s="3">
        <v>15000</v>
      </c>
      <c r="F87" s="46">
        <v>15000</v>
      </c>
      <c r="H87" s="54"/>
      <c r="I87" s="54"/>
      <c r="J87" s="54">
        <v>65000</v>
      </c>
    </row>
    <row r="88" spans="1:10" x14ac:dyDescent="0.15">
      <c r="A88" s="9">
        <v>25</v>
      </c>
      <c r="B88" s="58" t="s">
        <v>79</v>
      </c>
      <c r="C88" s="58"/>
      <c r="D88" s="3">
        <v>12500</v>
      </c>
      <c r="E88" s="3">
        <v>12500</v>
      </c>
      <c r="F88" s="50">
        <v>8000</v>
      </c>
      <c r="H88" s="54"/>
      <c r="I88" s="54"/>
      <c r="J88" s="54">
        <v>75000</v>
      </c>
    </row>
    <row r="89" spans="1:10" x14ac:dyDescent="0.15">
      <c r="A89" s="9">
        <v>25</v>
      </c>
      <c r="B89" s="41" t="s">
        <v>80</v>
      </c>
      <c r="C89" s="41"/>
      <c r="D89" s="3">
        <v>8000</v>
      </c>
      <c r="E89" s="3">
        <v>8000</v>
      </c>
      <c r="F89" s="50">
        <v>8500</v>
      </c>
      <c r="H89" s="54"/>
      <c r="I89" s="54"/>
      <c r="J89" s="54">
        <v>15000</v>
      </c>
    </row>
    <row r="90" spans="1:10" x14ac:dyDescent="0.15">
      <c r="A90" s="9">
        <v>25</v>
      </c>
      <c r="B90" s="41" t="s">
        <v>81</v>
      </c>
      <c r="C90" s="41"/>
      <c r="D90" s="3">
        <v>11935</v>
      </c>
      <c r="E90" s="3">
        <v>11935</v>
      </c>
      <c r="F90" s="46">
        <v>15000</v>
      </c>
      <c r="H90" s="54"/>
      <c r="I90" s="54"/>
      <c r="J90" s="54">
        <v>15000</v>
      </c>
    </row>
    <row r="91" spans="1:10" x14ac:dyDescent="0.15">
      <c r="A91" s="9">
        <v>25</v>
      </c>
      <c r="B91" s="41" t="s">
        <v>82</v>
      </c>
      <c r="C91" s="41"/>
      <c r="D91" s="3">
        <v>19000</v>
      </c>
      <c r="E91" s="3">
        <v>19000</v>
      </c>
      <c r="F91" s="50">
        <v>25000</v>
      </c>
      <c r="H91" s="54"/>
      <c r="I91" s="54"/>
      <c r="J91" s="54"/>
    </row>
    <row r="92" spans="1:10" x14ac:dyDescent="0.15">
      <c r="A92" s="9">
        <v>25</v>
      </c>
      <c r="B92" s="58" t="s">
        <v>83</v>
      </c>
      <c r="C92" s="58"/>
      <c r="D92" s="3">
        <v>9000</v>
      </c>
      <c r="E92" s="3">
        <v>9000</v>
      </c>
      <c r="F92" s="50">
        <v>1500</v>
      </c>
      <c r="H92" s="54"/>
      <c r="I92" s="54"/>
      <c r="J92" s="54">
        <v>30000</v>
      </c>
    </row>
    <row r="93" spans="1:10" x14ac:dyDescent="0.15">
      <c r="A93" s="9">
        <v>25</v>
      </c>
      <c r="B93" s="41" t="s">
        <v>84</v>
      </c>
      <c r="C93" s="41"/>
      <c r="D93" s="3">
        <v>8600</v>
      </c>
      <c r="E93" s="3">
        <v>8600</v>
      </c>
      <c r="F93" s="46">
        <v>9500</v>
      </c>
      <c r="H93" s="54"/>
      <c r="J93">
        <f>SUM(J84:J92)</f>
        <v>480000</v>
      </c>
    </row>
    <row r="94" spans="1:10" x14ac:dyDescent="0.15">
      <c r="A94" s="9">
        <v>25</v>
      </c>
      <c r="B94" s="58" t="s">
        <v>85</v>
      </c>
      <c r="C94" s="58"/>
      <c r="D94" s="3">
        <v>5000</v>
      </c>
      <c r="E94" s="3">
        <v>5000</v>
      </c>
      <c r="F94" s="46">
        <v>5000</v>
      </c>
      <c r="H94" s="54"/>
    </row>
    <row r="95" spans="1:10" x14ac:dyDescent="0.15">
      <c r="A95" s="9">
        <v>25</v>
      </c>
      <c r="B95" s="41" t="s">
        <v>86</v>
      </c>
      <c r="C95" s="41"/>
      <c r="D95" s="3">
        <v>9000</v>
      </c>
      <c r="E95" s="3">
        <v>9000</v>
      </c>
      <c r="F95" s="46">
        <v>10500</v>
      </c>
      <c r="H95" s="54"/>
    </row>
    <row r="96" spans="1:10" x14ac:dyDescent="0.15">
      <c r="A96" s="9">
        <v>25</v>
      </c>
      <c r="B96" s="41" t="s">
        <v>87</v>
      </c>
      <c r="C96" s="41"/>
      <c r="D96" s="3">
        <v>15000</v>
      </c>
      <c r="E96" s="3">
        <v>13500</v>
      </c>
      <c r="F96" s="50">
        <v>15000</v>
      </c>
      <c r="H96" s="54"/>
    </row>
    <row r="97" spans="1:6" x14ac:dyDescent="0.15">
      <c r="A97" s="10">
        <v>21</v>
      </c>
      <c r="B97" s="59" t="s">
        <v>88</v>
      </c>
      <c r="C97" s="59"/>
      <c r="D97" s="11">
        <f>D44</f>
        <v>25000</v>
      </c>
      <c r="E97" s="11">
        <v>25000</v>
      </c>
      <c r="F97" s="11">
        <f>F44</f>
        <v>50000</v>
      </c>
    </row>
    <row r="98" spans="1:6" x14ac:dyDescent="0.15">
      <c r="A98" s="9">
        <v>26</v>
      </c>
      <c r="B98" s="41" t="s">
        <v>89</v>
      </c>
      <c r="C98" s="41"/>
      <c r="D98" s="3">
        <v>7500</v>
      </c>
      <c r="E98" s="3">
        <v>7500</v>
      </c>
      <c r="F98" s="46">
        <v>6100</v>
      </c>
    </row>
    <row r="99" spans="1:6" x14ac:dyDescent="0.15">
      <c r="A99" s="14">
        <v>27</v>
      </c>
      <c r="B99" s="43" t="s">
        <v>90</v>
      </c>
      <c r="C99" s="43"/>
      <c r="D99" s="15">
        <v>5000</v>
      </c>
      <c r="E99" s="15">
        <v>5000</v>
      </c>
      <c r="F99" s="46">
        <v>5000</v>
      </c>
    </row>
    <row r="100" spans="1:6" ht="14" thickBot="1" x14ac:dyDescent="0.2">
      <c r="A100" s="6"/>
      <c r="B100" s="39"/>
      <c r="C100" s="39"/>
      <c r="D100" s="3"/>
      <c r="E100" s="3"/>
    </row>
    <row r="101" spans="1:6" ht="14" thickBot="1" x14ac:dyDescent="0.2">
      <c r="A101" s="6"/>
      <c r="B101" s="26" t="s">
        <v>94</v>
      </c>
      <c r="C101" s="27"/>
      <c r="D101" s="28">
        <f>SUM(D48:D99)</f>
        <v>1390285</v>
      </c>
      <c r="E101" s="28">
        <f>SUM(E48:E99)</f>
        <v>1294885</v>
      </c>
      <c r="F101" s="28">
        <f>SUM(F48:F99)</f>
        <v>1301600</v>
      </c>
    </row>
    <row r="102" spans="1:6" ht="14" thickBot="1" x14ac:dyDescent="0.2">
      <c r="A102" s="6"/>
      <c r="B102" s="41"/>
      <c r="C102" s="41"/>
      <c r="D102" s="3"/>
      <c r="E102" s="3"/>
    </row>
    <row r="103" spans="1:6" ht="14" thickBot="1" x14ac:dyDescent="0.2">
      <c r="A103" s="6"/>
      <c r="B103" s="41"/>
      <c r="C103" s="26" t="s">
        <v>95</v>
      </c>
      <c r="D103" s="28">
        <f>D46-D101</f>
        <v>229.375</v>
      </c>
      <c r="E103" s="28">
        <f>E46-E101</f>
        <v>80.5</v>
      </c>
      <c r="F103" s="28">
        <f>F46-F101</f>
        <v>0</v>
      </c>
    </row>
    <row r="104" spans="1:6" x14ac:dyDescent="0.15">
      <c r="A104" s="6"/>
      <c r="B104" s="41"/>
      <c r="C104" s="41"/>
      <c r="D104" s="3"/>
      <c r="E104" s="3"/>
    </row>
    <row r="105" spans="1:6" x14ac:dyDescent="0.15">
      <c r="A105" s="61"/>
      <c r="B105" s="62"/>
      <c r="C105" s="62"/>
      <c r="D105" s="3"/>
      <c r="E105" s="3"/>
    </row>
    <row r="106" spans="1:6" x14ac:dyDescent="0.15">
      <c r="A106" s="6"/>
      <c r="B106" s="41"/>
      <c r="C106" s="41"/>
      <c r="D106" s="3"/>
      <c r="E106" s="3"/>
    </row>
    <row r="107" spans="1:6" x14ac:dyDescent="0.15">
      <c r="A107" s="6"/>
      <c r="B107" s="41"/>
      <c r="C107" s="41"/>
      <c r="D107" s="3"/>
      <c r="E107" s="3"/>
    </row>
    <row r="108" spans="1:6" x14ac:dyDescent="0.15">
      <c r="A108" s="6"/>
      <c r="B108" s="41"/>
      <c r="C108" s="22"/>
      <c r="D108" s="3"/>
      <c r="E108" s="3"/>
    </row>
    <row r="109" spans="1:6" x14ac:dyDescent="0.15">
      <c r="A109" s="6"/>
      <c r="B109" s="41"/>
      <c r="C109" s="41"/>
      <c r="D109" s="3"/>
      <c r="E109" s="3"/>
    </row>
    <row r="110" spans="1:6" x14ac:dyDescent="0.15">
      <c r="A110" s="6"/>
      <c r="B110" s="41"/>
      <c r="C110" s="41"/>
      <c r="D110" s="3"/>
      <c r="E110" s="3"/>
    </row>
    <row r="111" spans="1:6" x14ac:dyDescent="0.15">
      <c r="A111" s="6"/>
      <c r="B111" s="41"/>
      <c r="C111" s="41"/>
      <c r="D111" s="3"/>
      <c r="E111" s="3"/>
    </row>
    <row r="112" spans="1:6" x14ac:dyDescent="0.15">
      <c r="A112" s="6"/>
      <c r="B112" s="41"/>
      <c r="C112" s="41"/>
      <c r="D112" s="3"/>
      <c r="E112" s="3"/>
    </row>
    <row r="113" spans="1:5" x14ac:dyDescent="0.15">
      <c r="A113" s="6"/>
      <c r="B113" s="41"/>
      <c r="C113" s="41"/>
      <c r="D113" s="3"/>
      <c r="E113" s="3"/>
    </row>
  </sheetData>
  <mergeCells count="33">
    <mergeCell ref="B36:C36"/>
    <mergeCell ref="B5:C5"/>
    <mergeCell ref="B8:C8"/>
    <mergeCell ref="B9:C9"/>
    <mergeCell ref="B10:C10"/>
    <mergeCell ref="B11:C11"/>
    <mergeCell ref="B12:C12"/>
    <mergeCell ref="B14:C14"/>
    <mergeCell ref="B22:C22"/>
    <mergeCell ref="B27:C27"/>
    <mergeCell ref="B28:C28"/>
    <mergeCell ref="B34:C34"/>
    <mergeCell ref="B64:C64"/>
    <mergeCell ref="B38:C38"/>
    <mergeCell ref="B39:C39"/>
    <mergeCell ref="B40:C40"/>
    <mergeCell ref="B44:C44"/>
    <mergeCell ref="B53:C53"/>
    <mergeCell ref="B54:C54"/>
    <mergeCell ref="B55:C55"/>
    <mergeCell ref="B56:C56"/>
    <mergeCell ref="B57:C57"/>
    <mergeCell ref="B59:C59"/>
    <mergeCell ref="B62:C62"/>
    <mergeCell ref="B94:C94"/>
    <mergeCell ref="B97:C97"/>
    <mergeCell ref="A105:C105"/>
    <mergeCell ref="B65:C65"/>
    <mergeCell ref="B79:C79"/>
    <mergeCell ref="B81:C81"/>
    <mergeCell ref="B82:C82"/>
    <mergeCell ref="B88:C88"/>
    <mergeCell ref="B92:C92"/>
  </mergeCells>
  <pageMargins left="0.2" right="0.2" top="0.25" bottom="0.25" header="0.3" footer="0.3"/>
  <pageSetup orientation="portrait" horizontalDpi="0" verticalDpi="0" copies="3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without notes</vt:lpstr>
    </vt:vector>
  </TitlesOfParts>
  <Company>ASOR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OMEREFENDIC</dc:creator>
  <cp:lastModifiedBy>Microsoft Office User</cp:lastModifiedBy>
  <dcterms:created xsi:type="dcterms:W3CDTF">2017-12-15T15:58:26Z</dcterms:created>
  <dcterms:modified xsi:type="dcterms:W3CDTF">2018-04-17T16:12:41Z</dcterms:modified>
</cp:coreProperties>
</file>