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/>
  <mc:AlternateContent xmlns:mc="http://schemas.openxmlformats.org/markup-compatibility/2006">
    <mc:Choice Requires="x15">
      <x15ac:absPath xmlns:x15ac="http://schemas.microsoft.com/office/spreadsheetml/2010/11/ac" url="/Users/cathyvaughn/Desktop/spring 2018 board materials/"/>
    </mc:Choice>
  </mc:AlternateContent>
  <xr:revisionPtr revIDLastSave="0" documentId="8_{0E2EA799-7929-B04F-85E1-50C84A0AA30F}" xr6:coauthVersionLast="31" xr6:coauthVersionMax="31" xr10:uidLastSave="{00000000-0000-0000-0000-000000000000}"/>
  <bookViews>
    <workbookView xWindow="15660" yWindow="1180" windowWidth="12880" windowHeight="15520" tabRatio="500" xr2:uid="{00000000-000D-0000-FFFF-FFFF00000000}"/>
  </bookViews>
  <sheets>
    <sheet name="Sheet1" sheetId="1" r:id="rId1"/>
  </sheets>
  <externalReferences>
    <externalReference r:id="rId2"/>
  </externalReferenc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8" i="1" l="1"/>
  <c r="T58" i="1" s="1"/>
  <c r="U58" i="1" s="1"/>
  <c r="Q57" i="1"/>
  <c r="N57" i="1"/>
  <c r="L57" i="1"/>
  <c r="K57" i="1"/>
  <c r="J57" i="1"/>
  <c r="I57" i="1"/>
  <c r="H57" i="1"/>
  <c r="G57" i="1"/>
  <c r="F57" i="1"/>
  <c r="E57" i="1"/>
  <c r="D57" i="1"/>
  <c r="Q26" i="1"/>
  <c r="S26" i="1"/>
  <c r="T26" i="1"/>
  <c r="U26" i="1" s="1"/>
  <c r="P27" i="1"/>
  <c r="Q27" i="1" s="1"/>
  <c r="Q13" i="1"/>
  <c r="S13" i="1"/>
  <c r="T13" i="1"/>
  <c r="U13" i="1" s="1"/>
  <c r="P9" i="1"/>
  <c r="Q9" i="1" s="1"/>
  <c r="Q10" i="1"/>
  <c r="T10" i="1" s="1"/>
  <c r="U10" i="1" s="1"/>
  <c r="R10" i="1"/>
  <c r="R11" i="1" s="1"/>
  <c r="R23" i="1" s="1"/>
  <c r="R33" i="1" s="1"/>
  <c r="R50" i="1" s="1"/>
  <c r="S10" i="1"/>
  <c r="P5" i="1"/>
  <c r="Q5" i="1" s="1"/>
  <c r="Q6" i="1"/>
  <c r="T6" i="1" s="1"/>
  <c r="U6" i="1" s="1"/>
  <c r="R6" i="1"/>
  <c r="S6" i="1"/>
  <c r="S7" i="1" s="1"/>
  <c r="S23" i="1" s="1"/>
  <c r="S33" i="1" s="1"/>
  <c r="S50" i="1" s="1"/>
  <c r="Q15" i="1"/>
  <c r="T15" i="1" s="1"/>
  <c r="U15" i="1" s="1"/>
  <c r="R15" i="1"/>
  <c r="S15" i="1"/>
  <c r="Q17" i="1"/>
  <c r="T17" i="1" s="1"/>
  <c r="U17" i="1" s="1"/>
  <c r="R17" i="1"/>
  <c r="S17" i="1"/>
  <c r="Q19" i="1"/>
  <c r="T19" i="1" s="1"/>
  <c r="U19" i="1" s="1"/>
  <c r="S19" i="1"/>
  <c r="Q21" i="1"/>
  <c r="T21" i="1" s="1"/>
  <c r="U21" i="1" s="1"/>
  <c r="R21" i="1"/>
  <c r="S21" i="1"/>
  <c r="Q31" i="1"/>
  <c r="T31" i="1" s="1"/>
  <c r="U31" i="1" s="1"/>
  <c r="S28" i="1"/>
  <c r="S11" i="1"/>
  <c r="R28" i="1"/>
  <c r="R7" i="1"/>
  <c r="P40" i="1"/>
  <c r="P43" i="1"/>
  <c r="P11" i="1"/>
  <c r="P28" i="1"/>
  <c r="O43" i="1"/>
  <c r="O28" i="1"/>
  <c r="O7" i="1"/>
  <c r="O23" i="1" s="1"/>
  <c r="O33" i="1" s="1"/>
  <c r="O50" i="1" s="1"/>
  <c r="O11" i="1"/>
  <c r="N43" i="1"/>
  <c r="N28" i="1"/>
  <c r="N7" i="1"/>
  <c r="N23" i="1" s="1"/>
  <c r="N33" i="1" s="1"/>
  <c r="N50" i="1" s="1"/>
  <c r="N11" i="1"/>
  <c r="L43" i="1"/>
  <c r="L28" i="1"/>
  <c r="L7" i="1"/>
  <c r="L11" i="1"/>
  <c r="L23" i="1"/>
  <c r="L33" i="1" s="1"/>
  <c r="K43" i="1"/>
  <c r="K50" i="1" s="1"/>
  <c r="K28" i="1"/>
  <c r="K7" i="1"/>
  <c r="K11" i="1"/>
  <c r="K23" i="1"/>
  <c r="K33" i="1"/>
  <c r="J43" i="1"/>
  <c r="J38" i="1"/>
  <c r="J50" i="1" s="1"/>
  <c r="J28" i="1"/>
  <c r="J33" i="1" s="1"/>
  <c r="J7" i="1"/>
  <c r="J11" i="1"/>
  <c r="J23" i="1"/>
  <c r="I43" i="1"/>
  <c r="I38" i="1"/>
  <c r="I28" i="1"/>
  <c r="I33" i="1" s="1"/>
  <c r="I7" i="1"/>
  <c r="I11" i="1"/>
  <c r="I23" i="1"/>
  <c r="H46" i="1"/>
  <c r="H47" i="1"/>
  <c r="H50" i="1" s="1"/>
  <c r="H41" i="1"/>
  <c r="H43" i="1" s="1"/>
  <c r="H36" i="1"/>
  <c r="H38" i="1"/>
  <c r="H28" i="1"/>
  <c r="H7" i="1"/>
  <c r="H11" i="1"/>
  <c r="H23" i="1"/>
  <c r="H33" i="1"/>
  <c r="G28" i="1"/>
  <c r="G7" i="1"/>
  <c r="G23" i="1" s="1"/>
  <c r="G33" i="1" s="1"/>
  <c r="G50" i="1" s="1"/>
  <c r="G11" i="1"/>
  <c r="F28" i="1"/>
  <c r="F33" i="1" s="1"/>
  <c r="F50" i="1" s="1"/>
  <c r="F7" i="1"/>
  <c r="F11" i="1"/>
  <c r="F23" i="1"/>
  <c r="E28" i="1"/>
  <c r="E23" i="1"/>
  <c r="E33" i="1"/>
  <c r="E50" i="1" s="1"/>
  <c r="D23" i="1"/>
  <c r="D28" i="1"/>
  <c r="D33" i="1"/>
  <c r="D50" i="1" s="1"/>
  <c r="I47" i="1"/>
  <c r="Q7" i="1" l="1"/>
  <c r="T5" i="1"/>
  <c r="L50" i="1"/>
  <c r="T9" i="1"/>
  <c r="Q11" i="1"/>
  <c r="T27" i="1"/>
  <c r="U27" i="1" s="1"/>
  <c r="Q28" i="1"/>
  <c r="I50" i="1"/>
  <c r="T28" i="1"/>
  <c r="P7" i="1"/>
  <c r="P23" i="1" s="1"/>
  <c r="P33" i="1" s="1"/>
  <c r="P50" i="1" s="1"/>
  <c r="T11" i="1" l="1"/>
  <c r="U9" i="1"/>
  <c r="U28" i="1"/>
  <c r="U5" i="1"/>
  <c r="T7" i="1"/>
  <c r="U7" i="1" s="1"/>
  <c r="Q23" i="1"/>
  <c r="Q33" i="1" s="1"/>
  <c r="Q50" i="1" s="1"/>
  <c r="U11" i="1" l="1"/>
  <c r="T23" i="1"/>
  <c r="U23" i="1" l="1"/>
  <c r="T33" i="1"/>
  <c r="T50" i="1" l="1"/>
  <c r="U33" i="1"/>
</calcChain>
</file>

<file path=xl/sharedStrings.xml><?xml version="1.0" encoding="utf-8"?>
<sst xmlns="http://schemas.openxmlformats.org/spreadsheetml/2006/main" count="78" uniqueCount="76">
  <si>
    <t>Net investment report as of 03/31/2018; saved on 4/14/18 at 12:10pm</t>
  </si>
  <si>
    <t xml:space="preserve">ASOR </t>
    <phoneticPr fontId="19" type="noConversion"/>
  </si>
  <si>
    <t>$2,731.60 added to 6/30/08 balance</t>
  </si>
  <si>
    <t>FY18</t>
    <phoneticPr fontId="19" type="noConversion"/>
  </si>
  <si>
    <t xml:space="preserve">    FY18 to date </t>
    <phoneticPr fontId="19" type="noConversion"/>
  </si>
  <si>
    <t>FY18 to date</t>
    <phoneticPr fontId="19" type="noConversion"/>
  </si>
  <si>
    <t>Custom</t>
  </si>
  <si>
    <t>ASOR Fellowships:</t>
  </si>
  <si>
    <t>Info.</t>
  </si>
  <si>
    <t xml:space="preserve">       Net Change</t>
  </si>
  <si>
    <t xml:space="preserve">   Contributions</t>
    <phoneticPr fontId="19" type="noConversion"/>
  </si>
  <si>
    <t xml:space="preserve">   Distributions</t>
    <phoneticPr fontId="19" type="noConversion"/>
  </si>
  <si>
    <t>Investment Return</t>
  </si>
  <si>
    <t>% Return</t>
  </si>
  <si>
    <t>Benchmark</t>
    <phoneticPr fontId="19" type="noConversion"/>
  </si>
  <si>
    <t>Note</t>
    <phoneticPr fontId="19" type="noConversion"/>
  </si>
  <si>
    <t>($105,702.00 FY06 end)</t>
  </si>
  <si>
    <t>($107,176.00 FY07 end)</t>
  </si>
  <si>
    <t>($107,176.00 FY08 end)</t>
  </si>
  <si>
    <t>FY11 rest. bal. $110,700</t>
    <phoneticPr fontId="19" type="noConversion"/>
  </si>
  <si>
    <t>FY12 rest. bal. $110,936</t>
    <phoneticPr fontId="19" type="noConversion"/>
  </si>
  <si>
    <t>Harris Fell. - Sequoia Fund</t>
  </si>
  <si>
    <t>75.358 shares</t>
    <phoneticPr fontId="19" type="noConversion"/>
  </si>
  <si>
    <t>Harris Fell. - Charles Schwab</t>
  </si>
  <si>
    <t>capital gain</t>
  </si>
  <si>
    <t>1)</t>
    <phoneticPr fontId="19" type="noConversion"/>
  </si>
  <si>
    <t>Total Harris Fellowship</t>
  </si>
  <si>
    <t>Platt Fellowship - Sequoia Fund</t>
    <phoneticPr fontId="19" type="noConversion"/>
  </si>
  <si>
    <t>142.477 shares</t>
  </si>
  <si>
    <t>Platt Fell. - Charles Schwab</t>
  </si>
  <si>
    <t>Capital gain</t>
  </si>
  <si>
    <t>2)</t>
    <phoneticPr fontId="19" type="noConversion"/>
  </si>
  <si>
    <t>Total Platt Fellowship</t>
  </si>
  <si>
    <t>3)</t>
  </si>
  <si>
    <t>Wright/Meyers Fund - Charles Schwab</t>
  </si>
  <si>
    <t>4)</t>
    <phoneticPr fontId="19" type="noConversion"/>
  </si>
  <si>
    <t>PE MacAllister Fellowship - Charles Schwab</t>
    <phoneticPr fontId="19" type="noConversion"/>
  </si>
  <si>
    <t>5)</t>
    <phoneticPr fontId="19" type="noConversion"/>
  </si>
  <si>
    <t>Strange / Midkiff Fellowship - Charles Schwab</t>
  </si>
  <si>
    <t>6)</t>
    <phoneticPr fontId="19" type="noConversion"/>
  </si>
  <si>
    <t>Carol and Eric Meyers Scholarship - Charles Schwab</t>
    <phoneticPr fontId="19" type="noConversion"/>
  </si>
  <si>
    <t>7)</t>
    <phoneticPr fontId="19" type="noConversion"/>
  </si>
  <si>
    <t>Joe Seger Excavation Fund - Charles Schwab</t>
    <phoneticPr fontId="19" type="noConversion"/>
  </si>
  <si>
    <t>Total ASOR Fellowships</t>
  </si>
  <si>
    <t>ASOR Endowment:</t>
  </si>
  <si>
    <t>1)</t>
  </si>
  <si>
    <t>Endowment (ASOR) - Charles Schwab</t>
  </si>
  <si>
    <t>Endowment - Sequoia Fund</t>
  </si>
  <si>
    <t xml:space="preserve">303.422 shares </t>
    <phoneticPr fontId="19" type="noConversion"/>
  </si>
  <si>
    <t>Total ASOR Endowment</t>
  </si>
  <si>
    <t>($300,969 End. Bal. @ FY06)</t>
  </si>
  <si>
    <t>($302,419 End. Bal. @ FY07)</t>
  </si>
  <si>
    <t>($333,675 End. Bal. @ FY08)</t>
  </si>
  <si>
    <t>Publications OF - Charles Schwab (Books)</t>
  </si>
  <si>
    <t>INVESTMENTS SUBTOTAL</t>
  </si>
  <si>
    <t>Temp. Restricted - Citizens and Schwab</t>
  </si>
  <si>
    <t>Citizens Savings TR portion</t>
    <phoneticPr fontId="19" type="noConversion"/>
  </si>
  <si>
    <t>Schwab Account- TR portion</t>
  </si>
  <si>
    <t>Note: this balance contains an estimate of net Whiting and JHF revenues</t>
  </si>
  <si>
    <t>Citizens Savings - CHI funds</t>
    <phoneticPr fontId="19" type="noConversion"/>
  </si>
  <si>
    <t>Note: this balance is lower because ASOR has not receive reimbursement for March '18 expenses</t>
  </si>
  <si>
    <t>2)</t>
  </si>
  <si>
    <t>ASOR General Fund- Charles Schwab</t>
  </si>
  <si>
    <t xml:space="preserve">Note: this balance does not include Mar. reimbursements from DOS </t>
  </si>
  <si>
    <t>Citizens Savings</t>
    <phoneticPr fontId="19" type="noConversion"/>
  </si>
  <si>
    <t>Citizens Bank Checking</t>
    <phoneticPr fontId="19" type="noConversion"/>
  </si>
  <si>
    <t>Journals Escrow Account - Charles Schwab</t>
  </si>
  <si>
    <t>Citizens savings</t>
  </si>
  <si>
    <t xml:space="preserve"> GRAND TOTAL</t>
  </si>
  <si>
    <t>DSP - Calvert Account</t>
  </si>
  <si>
    <t>DSP - Citizens Account</t>
    <phoneticPr fontId="19" type="noConversion"/>
  </si>
  <si>
    <t xml:space="preserve">                                                                    </t>
    <phoneticPr fontId="19" type="noConversion"/>
  </si>
  <si>
    <t xml:space="preserve">HESI - Huntington Bank </t>
  </si>
  <si>
    <t>Total Sponsored projects</t>
  </si>
  <si>
    <t>Nies Fund - Citigroup (only updated each quarter)</t>
  </si>
  <si>
    <t>Note: balance as of 12/31/17; we will receive the March balance in the mail soon.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</si>
</sst>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6"/>
      <color indexed="10"/>
      <name val="Arial"/>
      <family val="2"/>
    </font>
    <font>
      <sz val="6"/>
      <name val="Arial"/>
      <family val="2"/>
    </font>
    <font>
      <b/>
      <sz val="6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6.5"/>
      <color indexed="10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6.5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6"/>
      <color indexed="10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i/>
      <sz val="6"/>
      <color indexed="10"/>
      <name val="Arial"/>
      <family val="2"/>
    </font>
    <font>
      <i/>
      <sz val="6.5"/>
      <color indexed="10"/>
      <name val="Arial"/>
      <family val="2"/>
    </font>
    <font>
      <i/>
      <sz val="6.5"/>
      <name val="Arial"/>
      <family val="2"/>
    </font>
    <font>
      <b/>
      <i/>
      <sz val="6.5"/>
      <name val="Arial"/>
      <family val="2"/>
    </font>
    <font>
      <sz val="6.5"/>
      <name val="Arial"/>
      <family val="2"/>
    </font>
    <font>
      <b/>
      <i/>
      <sz val="10"/>
      <color indexed="10"/>
      <name val="Arial"/>
      <family val="2"/>
    </font>
    <font>
      <b/>
      <i/>
      <sz val="6.5"/>
      <color indexed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i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ck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44" fontId="0" fillId="0" borderId="0" xfId="2" applyFont="1"/>
    <xf numFmtId="44" fontId="2" fillId="0" borderId="0" xfId="2" applyFont="1" applyBorder="1"/>
    <xf numFmtId="44" fontId="0" fillId="0" borderId="1" xfId="2" applyFont="1" applyBorder="1"/>
    <xf numFmtId="44" fontId="0" fillId="0" borderId="2" xfId="2" applyFont="1" applyBorder="1"/>
    <xf numFmtId="44" fontId="0" fillId="0" borderId="2" xfId="2" applyFont="1" applyFill="1" applyBorder="1"/>
    <xf numFmtId="44" fontId="3" fillId="0" borderId="3" xfId="2" applyFont="1" applyFill="1" applyBorder="1"/>
    <xf numFmtId="44" fontId="3" fillId="0" borderId="2" xfId="2" applyFont="1" applyFill="1" applyBorder="1"/>
    <xf numFmtId="44" fontId="2" fillId="0" borderId="2" xfId="2" applyFont="1" applyFill="1" applyBorder="1"/>
    <xf numFmtId="44" fontId="4" fillId="0" borderId="2" xfId="2" applyFont="1" applyFill="1" applyBorder="1"/>
    <xf numFmtId="44" fontId="4" fillId="0" borderId="3" xfId="2" applyFont="1" applyFill="1" applyBorder="1"/>
    <xf numFmtId="44" fontId="4" fillId="0" borderId="2" xfId="0" applyNumberFormat="1" applyFont="1" applyFill="1" applyBorder="1"/>
    <xf numFmtId="44" fontId="4" fillId="2" borderId="2" xfId="2" applyFont="1" applyFill="1" applyBorder="1"/>
    <xf numFmtId="44" fontId="0" fillId="0" borderId="0" xfId="2" applyFont="1" applyBorder="1"/>
    <xf numFmtId="44" fontId="5" fillId="0" borderId="2" xfId="2" applyFont="1" applyBorder="1"/>
    <xf numFmtId="164" fontId="6" fillId="0" borderId="0" xfId="3" applyNumberFormat="1" applyFont="1"/>
    <xf numFmtId="164" fontId="5" fillId="0" borderId="2" xfId="1" applyNumberFormat="1" applyFont="1" applyBorder="1" applyAlignment="1">
      <alignment horizontal="center"/>
    </xf>
    <xf numFmtId="44" fontId="0" fillId="0" borderId="4" xfId="2" applyFont="1" applyBorder="1"/>
    <xf numFmtId="44" fontId="7" fillId="0" borderId="3" xfId="2" applyFont="1" applyFill="1" applyBorder="1"/>
    <xf numFmtId="44" fontId="7" fillId="0" borderId="2" xfId="2" applyFont="1" applyFill="1" applyBorder="1"/>
    <xf numFmtId="44" fontId="8" fillId="0" borderId="2" xfId="2" applyFont="1" applyFill="1" applyBorder="1"/>
    <xf numFmtId="44" fontId="9" fillId="0" borderId="2" xfId="2" applyFont="1" applyFill="1" applyBorder="1"/>
    <xf numFmtId="44" fontId="9" fillId="0" borderId="3" xfId="2" applyFont="1" applyFill="1" applyBorder="1"/>
    <xf numFmtId="44" fontId="9" fillId="0" borderId="2" xfId="0" applyNumberFormat="1" applyFont="1" applyFill="1" applyBorder="1"/>
    <xf numFmtId="44" fontId="5" fillId="0" borderId="2" xfId="2" applyFont="1" applyFill="1" applyBorder="1" applyAlignment="1">
      <alignment horizontal="center"/>
    </xf>
    <xf numFmtId="44" fontId="5" fillId="2" borderId="2" xfId="2" applyFont="1" applyFill="1" applyBorder="1" applyAlignment="1">
      <alignment horizontal="center"/>
    </xf>
    <xf numFmtId="44" fontId="10" fillId="0" borderId="2" xfId="2" applyFont="1" applyBorder="1"/>
    <xf numFmtId="164" fontId="11" fillId="0" borderId="0" xfId="3" applyNumberFormat="1" applyFont="1" applyBorder="1"/>
    <xf numFmtId="164" fontId="11" fillId="0" borderId="2" xfId="1" applyNumberFormat="1" applyFont="1" applyBorder="1" applyAlignment="1">
      <alignment horizontal="center"/>
    </xf>
    <xf numFmtId="44" fontId="12" fillId="0" borderId="5" xfId="2" applyFont="1" applyBorder="1"/>
    <xf numFmtId="44" fontId="5" fillId="0" borderId="6" xfId="2" applyFont="1" applyBorder="1"/>
    <xf numFmtId="44" fontId="5" fillId="0" borderId="7" xfId="2" applyFont="1" applyBorder="1"/>
    <xf numFmtId="15" fontId="5" fillId="0" borderId="8" xfId="2" applyNumberFormat="1" applyFont="1" applyBorder="1"/>
    <xf numFmtId="15" fontId="5" fillId="0" borderId="8" xfId="2" applyNumberFormat="1" applyFont="1" applyFill="1" applyBorder="1"/>
    <xf numFmtId="15" fontId="5" fillId="0" borderId="9" xfId="2" applyNumberFormat="1" applyFont="1" applyFill="1" applyBorder="1"/>
    <xf numFmtId="15" fontId="5" fillId="0" borderId="8" xfId="0" applyNumberFormat="1" applyFont="1" applyFill="1" applyBorder="1"/>
    <xf numFmtId="15" fontId="5" fillId="2" borderId="8" xfId="2" applyNumberFormat="1" applyFont="1" applyFill="1" applyBorder="1"/>
    <xf numFmtId="15" fontId="5" fillId="0" borderId="10" xfId="2" applyNumberFormat="1" applyFont="1" applyBorder="1"/>
    <xf numFmtId="15" fontId="10" fillId="0" borderId="8" xfId="2" applyNumberFormat="1" applyFont="1" applyFill="1" applyBorder="1"/>
    <xf numFmtId="15" fontId="10" fillId="0" borderId="10" xfId="2" applyNumberFormat="1" applyFont="1" applyBorder="1"/>
    <xf numFmtId="44" fontId="11" fillId="0" borderId="8" xfId="2" applyFont="1" applyBorder="1"/>
    <xf numFmtId="164" fontId="10" fillId="0" borderId="10" xfId="3" applyNumberFormat="1" applyFont="1" applyBorder="1"/>
    <xf numFmtId="164" fontId="11" fillId="0" borderId="8" xfId="1" applyNumberFormat="1" applyFont="1" applyBorder="1" applyAlignment="1">
      <alignment horizontal="center"/>
    </xf>
    <xf numFmtId="44" fontId="11" fillId="0" borderId="10" xfId="2" applyFont="1" applyBorder="1"/>
    <xf numFmtId="44" fontId="5" fillId="0" borderId="10" xfId="2" applyFont="1" applyBorder="1"/>
    <xf numFmtId="44" fontId="13" fillId="0" borderId="11" xfId="2" applyFont="1" applyBorder="1"/>
    <xf numFmtId="6" fontId="14" fillId="0" borderId="2" xfId="2" applyNumberFormat="1" applyFont="1" applyFill="1" applyBorder="1"/>
    <xf numFmtId="44" fontId="5" fillId="0" borderId="2" xfId="2" applyFont="1" applyFill="1" applyBorder="1"/>
    <xf numFmtId="44" fontId="5" fillId="0" borderId="3" xfId="2" applyFont="1" applyFill="1" applyBorder="1"/>
    <xf numFmtId="44" fontId="5" fillId="0" borderId="2" xfId="0" applyNumberFormat="1" applyFont="1" applyFill="1" applyBorder="1"/>
    <xf numFmtId="44" fontId="5" fillId="2" borderId="2" xfId="2" applyFont="1" applyFill="1" applyBorder="1"/>
    <xf numFmtId="164" fontId="0" fillId="0" borderId="0" xfId="3" applyNumberFormat="1" applyFont="1"/>
    <xf numFmtId="164" fontId="15" fillId="0" borderId="2" xfId="1" applyNumberFormat="1" applyFont="1" applyBorder="1"/>
    <xf numFmtId="44" fontId="16" fillId="0" borderId="12" xfId="2" applyFont="1" applyBorder="1"/>
    <xf numFmtId="44" fontId="2" fillId="0" borderId="3" xfId="2" applyFont="1" applyFill="1" applyBorder="1"/>
    <xf numFmtId="44" fontId="2" fillId="0" borderId="2" xfId="2" applyFont="1" applyBorder="1"/>
    <xf numFmtId="164" fontId="2" fillId="0" borderId="2" xfId="1" applyNumberFormat="1" applyFont="1" applyBorder="1"/>
    <xf numFmtId="44" fontId="0" fillId="0" borderId="13" xfId="2" applyFont="1" applyBorder="1"/>
    <xf numFmtId="44" fontId="17" fillId="0" borderId="13" xfId="2" applyFont="1" applyBorder="1"/>
    <xf numFmtId="44" fontId="13" fillId="0" borderId="14" xfId="2" applyFont="1" applyBorder="1"/>
    <xf numFmtId="44" fontId="0" fillId="0" borderId="15" xfId="2" applyFont="1" applyBorder="1"/>
    <xf numFmtId="44" fontId="0" fillId="0" borderId="15" xfId="2" applyFont="1" applyFill="1" applyBorder="1"/>
    <xf numFmtId="44" fontId="2" fillId="0" borderId="14" xfId="2" applyFont="1" applyFill="1" applyBorder="1"/>
    <xf numFmtId="44" fontId="2" fillId="0" borderId="15" xfId="2" applyFont="1" applyBorder="1"/>
    <xf numFmtId="44" fontId="2" fillId="0" borderId="13" xfId="2" applyFont="1" applyBorder="1"/>
    <xf numFmtId="164" fontId="0" fillId="0" borderId="13" xfId="3" applyNumberFormat="1" applyFont="1" applyBorder="1"/>
    <xf numFmtId="44" fontId="5" fillId="0" borderId="0" xfId="2" applyFont="1"/>
    <xf numFmtId="44" fontId="16" fillId="0" borderId="0" xfId="2" applyFont="1" applyBorder="1"/>
    <xf numFmtId="44" fontId="18" fillId="0" borderId="3" xfId="2" applyFont="1" applyBorder="1"/>
    <xf numFmtId="44" fontId="5" fillId="0" borderId="16" xfId="2" applyFont="1" applyFill="1" applyBorder="1"/>
    <xf numFmtId="44" fontId="5" fillId="0" borderId="17" xfId="2" applyFont="1" applyFill="1" applyBorder="1"/>
    <xf numFmtId="44" fontId="5" fillId="0" borderId="16" xfId="0" applyNumberFormat="1" applyFont="1" applyFill="1" applyBorder="1"/>
    <xf numFmtId="44" fontId="5" fillId="2" borderId="16" xfId="2" applyFont="1" applyFill="1" applyBorder="1"/>
    <xf numFmtId="44" fontId="5" fillId="0" borderId="18" xfId="2" applyFont="1" applyBorder="1"/>
    <xf numFmtId="44" fontId="5" fillId="0" borderId="0" xfId="2" applyFont="1" applyBorder="1"/>
    <xf numFmtId="164" fontId="5" fillId="0" borderId="0" xfId="3" applyNumberFormat="1" applyFont="1"/>
    <xf numFmtId="44" fontId="5" fillId="0" borderId="3" xfId="2" applyFont="1" applyBorder="1"/>
    <xf numFmtId="44" fontId="14" fillId="0" borderId="1" xfId="2" applyFont="1" applyBorder="1"/>
    <xf numFmtId="44" fontId="19" fillId="0" borderId="3" xfId="2" applyFont="1" applyFill="1" applyBorder="1"/>
    <xf numFmtId="44" fontId="20" fillId="0" borderId="2" xfId="2" applyFont="1" applyFill="1" applyBorder="1"/>
    <xf numFmtId="44" fontId="21" fillId="0" borderId="2" xfId="2" applyFont="1" applyFill="1" applyBorder="1"/>
    <xf numFmtId="44" fontId="21" fillId="0" borderId="3" xfId="2" applyFont="1" applyFill="1" applyBorder="1"/>
    <xf numFmtId="44" fontId="21" fillId="0" borderId="2" xfId="0" applyNumberFormat="1" applyFont="1" applyFill="1" applyBorder="1"/>
    <xf numFmtId="44" fontId="21" fillId="2" borderId="2" xfId="2" applyFont="1" applyFill="1" applyBorder="1"/>
    <xf numFmtId="44" fontId="0" fillId="0" borderId="3" xfId="2" applyFont="1" applyBorder="1"/>
    <xf numFmtId="44" fontId="5" fillId="2" borderId="2" xfId="2" applyNumberFormat="1" applyFont="1" applyFill="1" applyBorder="1"/>
    <xf numFmtId="44" fontId="13" fillId="0" borderId="2" xfId="2" applyFont="1" applyBorder="1"/>
    <xf numFmtId="44" fontId="7" fillId="0" borderId="2" xfId="2" applyFont="1" applyBorder="1"/>
    <xf numFmtId="44" fontId="22" fillId="0" borderId="3" xfId="2" applyFont="1" applyFill="1" applyBorder="1"/>
    <xf numFmtId="44" fontId="23" fillId="0" borderId="2" xfId="2" applyFont="1" applyFill="1" applyBorder="1"/>
    <xf numFmtId="44" fontId="24" fillId="0" borderId="2" xfId="2" applyFont="1" applyFill="1" applyBorder="1"/>
    <xf numFmtId="44" fontId="24" fillId="0" borderId="3" xfId="2" applyFont="1" applyFill="1" applyBorder="1"/>
    <xf numFmtId="44" fontId="25" fillId="0" borderId="2" xfId="0" applyNumberFormat="1" applyFont="1" applyFill="1" applyBorder="1"/>
    <xf numFmtId="44" fontId="24" fillId="2" borderId="2" xfId="2" applyFont="1" applyFill="1" applyBorder="1"/>
    <xf numFmtId="44" fontId="7" fillId="0" borderId="0" xfId="2" applyFont="1" applyBorder="1"/>
    <xf numFmtId="44" fontId="8" fillId="0" borderId="0" xfId="2" applyFont="1" applyBorder="1"/>
    <xf numFmtId="44" fontId="5" fillId="0" borderId="1" xfId="2" applyFont="1" applyBorder="1"/>
    <xf numFmtId="44" fontId="5" fillId="0" borderId="1" xfId="2" applyFont="1" applyFill="1" applyBorder="1"/>
    <xf numFmtId="0" fontId="0" fillId="0" borderId="2" xfId="0" applyBorder="1"/>
    <xf numFmtId="0" fontId="2" fillId="0" borderId="0" xfId="0" applyFont="1" applyFill="1"/>
    <xf numFmtId="0" fontId="0" fillId="0" borderId="2" xfId="0" applyFill="1" applyBorder="1"/>
    <xf numFmtId="0" fontId="2" fillId="0" borderId="2" xfId="0" applyFont="1" applyFill="1" applyBorder="1"/>
    <xf numFmtId="0" fontId="2" fillId="2" borderId="2" xfId="0" applyFont="1" applyFill="1" applyBorder="1"/>
    <xf numFmtId="0" fontId="0" fillId="0" borderId="1" xfId="0" applyBorder="1"/>
    <xf numFmtId="0" fontId="2" fillId="0" borderId="2" xfId="0" applyFont="1" applyBorder="1"/>
    <xf numFmtId="0" fontId="5" fillId="0" borderId="3" xfId="0" applyFont="1" applyBorder="1"/>
    <xf numFmtId="164" fontId="2" fillId="0" borderId="2" xfId="0" applyNumberFormat="1" applyFont="1" applyBorder="1"/>
    <xf numFmtId="0" fontId="6" fillId="0" borderId="0" xfId="0" applyFont="1"/>
    <xf numFmtId="44" fontId="15" fillId="0" borderId="0" xfId="2" applyFont="1"/>
    <xf numFmtId="44" fontId="13" fillId="0" borderId="2" xfId="2" applyFont="1" applyFill="1" applyBorder="1"/>
    <xf numFmtId="44" fontId="26" fillId="0" borderId="3" xfId="2" applyFont="1" applyFill="1" applyBorder="1"/>
    <xf numFmtId="44" fontId="27" fillId="0" borderId="2" xfId="2" applyFont="1" applyFill="1" applyBorder="1"/>
    <xf numFmtId="44" fontId="28" fillId="0" borderId="2" xfId="2" applyFont="1" applyFill="1" applyBorder="1"/>
    <xf numFmtId="44" fontId="28" fillId="0" borderId="3" xfId="2" applyFont="1" applyFill="1" applyBorder="1"/>
    <xf numFmtId="44" fontId="28" fillId="0" borderId="2" xfId="0" applyNumberFormat="1" applyFont="1" applyFill="1" applyBorder="1"/>
    <xf numFmtId="44" fontId="28" fillId="2" borderId="2" xfId="2" applyFont="1" applyFill="1" applyBorder="1"/>
    <xf numFmtId="44" fontId="13" fillId="0" borderId="0" xfId="2" applyFont="1" applyBorder="1"/>
    <xf numFmtId="44" fontId="29" fillId="0" borderId="0" xfId="2" applyFont="1" applyBorder="1"/>
    <xf numFmtId="44" fontId="5" fillId="0" borderId="19" xfId="2" applyFont="1" applyBorder="1"/>
    <xf numFmtId="44" fontId="12" fillId="0" borderId="19" xfId="2" applyFont="1" applyBorder="1"/>
    <xf numFmtId="44" fontId="5" fillId="0" borderId="20" xfId="2" applyFont="1" applyBorder="1"/>
    <xf numFmtId="44" fontId="5" fillId="0" borderId="21" xfId="2" applyFont="1" applyBorder="1"/>
    <xf numFmtId="44" fontId="5" fillId="0" borderId="21" xfId="2" applyFont="1" applyFill="1" applyBorder="1"/>
    <xf numFmtId="44" fontId="5" fillId="0" borderId="22" xfId="2" applyFont="1" applyFill="1" applyBorder="1"/>
    <xf numFmtId="44" fontId="5" fillId="0" borderId="22" xfId="0" applyNumberFormat="1" applyFont="1" applyFill="1" applyBorder="1"/>
    <xf numFmtId="44" fontId="5" fillId="2" borderId="21" xfId="2" applyFont="1" applyFill="1" applyBorder="1"/>
    <xf numFmtId="164" fontId="5" fillId="2" borderId="19" xfId="3" applyNumberFormat="1" applyFont="1" applyFill="1" applyBorder="1"/>
    <xf numFmtId="164" fontId="5" fillId="2" borderId="21" xfId="3" applyNumberFormat="1" applyFont="1" applyFill="1" applyBorder="1" applyAlignment="1">
      <alignment horizontal="center"/>
    </xf>
    <xf numFmtId="44" fontId="15" fillId="0" borderId="19" xfId="2" applyFont="1" applyBorder="1"/>
    <xf numFmtId="44" fontId="5" fillId="0" borderId="5" xfId="2" applyFont="1" applyBorder="1"/>
    <xf numFmtId="44" fontId="12" fillId="0" borderId="6" xfId="2" applyFont="1" applyBorder="1"/>
    <xf numFmtId="44" fontId="30" fillId="0" borderId="3" xfId="2" applyFont="1" applyFill="1" applyBorder="1"/>
    <xf numFmtId="44" fontId="30" fillId="0" borderId="2" xfId="2" applyFont="1" applyFill="1" applyBorder="1"/>
    <xf numFmtId="44" fontId="30" fillId="2" borderId="2" xfId="2" applyFont="1" applyFill="1" applyBorder="1"/>
    <xf numFmtId="164" fontId="5" fillId="0" borderId="0" xfId="3" applyNumberFormat="1" applyFont="1" applyBorder="1"/>
    <xf numFmtId="164" fontId="2" fillId="0" borderId="2" xfId="1" applyNumberFormat="1" applyFont="1" applyBorder="1" applyAlignment="1">
      <alignment horizontal="center"/>
    </xf>
    <xf numFmtId="44" fontId="2" fillId="0" borderId="0" xfId="2" applyFont="1"/>
    <xf numFmtId="44" fontId="0" fillId="0" borderId="23" xfId="2" applyFont="1" applyBorder="1"/>
    <xf numFmtId="44" fontId="5" fillId="0" borderId="24" xfId="2" applyFont="1" applyBorder="1"/>
    <xf numFmtId="44" fontId="12" fillId="0" borderId="0" xfId="2" applyFont="1" applyBorder="1"/>
    <xf numFmtId="44" fontId="5" fillId="0" borderId="16" xfId="2" applyFont="1" applyBorder="1"/>
    <xf numFmtId="164" fontId="5" fillId="2" borderId="16" xfId="3" applyNumberFormat="1" applyFont="1" applyFill="1" applyBorder="1"/>
    <xf numFmtId="164" fontId="5" fillId="2" borderId="16" xfId="3" applyNumberFormat="1" applyFont="1" applyFill="1" applyBorder="1" applyAlignment="1">
      <alignment horizontal="center"/>
    </xf>
    <xf numFmtId="44" fontId="15" fillId="0" borderId="17" xfId="2" applyFont="1" applyBorder="1"/>
    <xf numFmtId="44" fontId="0" fillId="0" borderId="10" xfId="2" applyFont="1" applyBorder="1"/>
    <xf numFmtId="44" fontId="12" fillId="0" borderId="10" xfId="2" applyFont="1" applyBorder="1"/>
    <xf numFmtId="44" fontId="0" fillId="0" borderId="7" xfId="2" applyFont="1" applyBorder="1"/>
    <xf numFmtId="44" fontId="13" fillId="0" borderId="25" xfId="2" applyFont="1" applyBorder="1"/>
    <xf numFmtId="44" fontId="19" fillId="0" borderId="9" xfId="2" applyFont="1" applyFill="1" applyBorder="1"/>
    <xf numFmtId="44" fontId="20" fillId="0" borderId="8" xfId="2" applyFont="1" applyFill="1" applyBorder="1"/>
    <xf numFmtId="44" fontId="21" fillId="0" borderId="8" xfId="2" applyFont="1" applyFill="1" applyBorder="1"/>
    <xf numFmtId="44" fontId="21" fillId="0" borderId="9" xfId="2" applyFont="1" applyFill="1" applyBorder="1"/>
    <xf numFmtId="44" fontId="21" fillId="0" borderId="8" xfId="0" applyNumberFormat="1" applyFont="1" applyFill="1" applyBorder="1"/>
    <xf numFmtId="44" fontId="30" fillId="0" borderId="8" xfId="2" applyFont="1" applyFill="1" applyBorder="1"/>
    <xf numFmtId="44" fontId="30" fillId="2" borderId="8" xfId="2" applyFont="1" applyFill="1" applyBorder="1"/>
    <xf numFmtId="44" fontId="0" fillId="0" borderId="8" xfId="2" applyFont="1" applyBorder="1"/>
    <xf numFmtId="44" fontId="2" fillId="0" borderId="10" xfId="2" applyFont="1" applyBorder="1"/>
    <xf numFmtId="44" fontId="5" fillId="0" borderId="8" xfId="2" applyFont="1" applyBorder="1"/>
    <xf numFmtId="164" fontId="0" fillId="0" borderId="10" xfId="3" applyNumberFormat="1" applyFont="1" applyBorder="1"/>
    <xf numFmtId="164" fontId="2" fillId="0" borderId="8" xfId="1" applyNumberFormat="1" applyFont="1" applyBorder="1" applyAlignment="1">
      <alignment horizontal="center"/>
    </xf>
    <xf numFmtId="44" fontId="13" fillId="0" borderId="26" xfId="2" applyFont="1" applyBorder="1"/>
    <xf numFmtId="44" fontId="31" fillId="0" borderId="2" xfId="2" applyFont="1" applyFill="1" applyBorder="1"/>
    <xf numFmtId="44" fontId="31" fillId="2" borderId="2" xfId="2" applyFont="1" applyFill="1" applyBorder="1"/>
    <xf numFmtId="164" fontId="5" fillId="0" borderId="0" xfId="3" applyNumberFormat="1" applyFont="1" applyFill="1" applyBorder="1"/>
    <xf numFmtId="44" fontId="12" fillId="0" borderId="27" xfId="2" applyFont="1" applyBorder="1"/>
    <xf numFmtId="44" fontId="12" fillId="0" borderId="28" xfId="2" applyFont="1" applyBorder="1"/>
    <xf numFmtId="44" fontId="12" fillId="0" borderId="29" xfId="2" applyFont="1" applyBorder="1"/>
    <xf numFmtId="44" fontId="12" fillId="0" borderId="29" xfId="2" applyFont="1" applyFill="1" applyBorder="1"/>
    <xf numFmtId="44" fontId="12" fillId="0" borderId="30" xfId="2" applyFont="1" applyFill="1" applyBorder="1"/>
    <xf numFmtId="44" fontId="12" fillId="0" borderId="30" xfId="0" applyNumberFormat="1" applyFont="1" applyFill="1" applyBorder="1"/>
    <xf numFmtId="44" fontId="12" fillId="2" borderId="29" xfId="2" applyFont="1" applyFill="1" applyBorder="1"/>
    <xf numFmtId="164" fontId="12" fillId="2" borderId="27" xfId="3" applyNumberFormat="1" applyFont="1" applyFill="1" applyBorder="1"/>
    <xf numFmtId="164" fontId="5" fillId="2" borderId="29" xfId="3" applyNumberFormat="1" applyFont="1" applyFill="1" applyBorder="1" applyAlignment="1">
      <alignment horizontal="center"/>
    </xf>
    <xf numFmtId="44" fontId="15" fillId="0" borderId="30" xfId="2" applyFont="1" applyBorder="1"/>
    <xf numFmtId="44" fontId="31" fillId="0" borderId="3" xfId="2" applyFont="1" applyFill="1" applyBorder="1"/>
    <xf numFmtId="44" fontId="31" fillId="0" borderId="2" xfId="0" applyNumberFormat="1" applyFont="1" applyFill="1" applyBorder="1"/>
    <xf numFmtId="164" fontId="5" fillId="0" borderId="2" xfId="1" applyNumberFormat="1" applyFont="1" applyBorder="1"/>
    <xf numFmtId="44" fontId="3" fillId="0" borderId="2" xfId="2" applyFont="1" applyBorder="1"/>
    <xf numFmtId="44" fontId="2" fillId="0" borderId="1" xfId="2" applyFont="1" applyBorder="1"/>
    <xf numFmtId="44" fontId="4" fillId="0" borderId="2" xfId="2" applyFont="1" applyBorder="1"/>
    <xf numFmtId="44" fontId="5" fillId="0" borderId="15" xfId="0" applyNumberFormat="1" applyFont="1" applyFill="1" applyBorder="1"/>
    <xf numFmtId="44" fontId="5" fillId="0" borderId="15" xfId="2" applyFont="1" applyFill="1" applyBorder="1"/>
    <xf numFmtId="44" fontId="5" fillId="2" borderId="15" xfId="2" applyFont="1" applyFill="1" applyBorder="1"/>
    <xf numFmtId="44" fontId="32" fillId="0" borderId="2" xfId="2" applyFont="1" applyBorder="1"/>
    <xf numFmtId="44" fontId="33" fillId="0" borderId="27" xfId="2" applyFont="1" applyBorder="1"/>
    <xf numFmtId="164" fontId="10" fillId="0" borderId="27" xfId="3" applyNumberFormat="1" applyFont="1" applyBorder="1"/>
    <xf numFmtId="164" fontId="5" fillId="0" borderId="29" xfId="1" applyNumberFormat="1" applyFont="1" applyBorder="1"/>
    <xf numFmtId="44" fontId="33" fillId="0" borderId="0" xfId="2" applyFont="1" applyBorder="1"/>
    <xf numFmtId="44" fontId="12" fillId="0" borderId="1" xfId="2" applyFont="1" applyBorder="1"/>
    <xf numFmtId="44" fontId="12" fillId="0" borderId="2" xfId="2" applyFont="1" applyBorder="1"/>
    <xf numFmtId="44" fontId="12" fillId="0" borderId="2" xfId="2" applyFont="1" applyFill="1" applyBorder="1"/>
    <xf numFmtId="44" fontId="34" fillId="0" borderId="3" xfId="2" applyFont="1" applyFill="1" applyBorder="1"/>
    <xf numFmtId="44" fontId="34" fillId="0" borderId="2" xfId="2" applyFont="1" applyFill="1" applyBorder="1"/>
    <xf numFmtId="44" fontId="12" fillId="0" borderId="3" xfId="2" applyFont="1" applyFill="1" applyBorder="1"/>
    <xf numFmtId="44" fontId="34" fillId="0" borderId="2" xfId="0" applyNumberFormat="1" applyFont="1" applyFill="1" applyBorder="1"/>
    <xf numFmtId="44" fontId="34" fillId="2" borderId="2" xfId="2" applyFont="1" applyFill="1" applyBorder="1"/>
    <xf numFmtId="164" fontId="10" fillId="0" borderId="0" xfId="3" applyNumberFormat="1" applyFont="1" applyBorder="1"/>
    <xf numFmtId="44" fontId="3" fillId="0" borderId="2" xfId="0" applyNumberFormat="1" applyFont="1" applyFill="1" applyBorder="1"/>
    <xf numFmtId="44" fontId="3" fillId="2" borderId="2" xfId="2" applyFont="1" applyFill="1" applyBorder="1"/>
    <xf numFmtId="44" fontId="0" fillId="0" borderId="2" xfId="0" applyNumberFormat="1" applyFill="1" applyBorder="1"/>
    <xf numFmtId="44" fontId="2" fillId="2" borderId="2" xfId="2" applyFont="1" applyFill="1" applyBorder="1"/>
    <xf numFmtId="44" fontId="0" fillId="0" borderId="2" xfId="0" applyNumberFormat="1" applyBorder="1"/>
    <xf numFmtId="44" fontId="5" fillId="0" borderId="27" xfId="2" applyFont="1" applyBorder="1"/>
    <xf numFmtId="44" fontId="0" fillId="0" borderId="28" xfId="2" applyFont="1" applyBorder="1"/>
    <xf numFmtId="44" fontId="5" fillId="0" borderId="29" xfId="2" applyFont="1" applyBorder="1"/>
    <xf numFmtId="44" fontId="5" fillId="0" borderId="29" xfId="2" applyFont="1" applyFill="1" applyBorder="1"/>
    <xf numFmtId="44" fontId="5" fillId="0" borderId="30" xfId="2" applyFont="1" applyFill="1" applyBorder="1"/>
    <xf numFmtId="44" fontId="5" fillId="0" borderId="29" xfId="0" applyNumberFormat="1" applyFont="1" applyFill="1" applyBorder="1"/>
    <xf numFmtId="44" fontId="5" fillId="2" borderId="29" xfId="2" applyFont="1" applyFill="1" applyBorder="1"/>
    <xf numFmtId="44" fontId="0" fillId="0" borderId="29" xfId="2" applyFont="1" applyBorder="1"/>
    <xf numFmtId="44" fontId="2" fillId="0" borderId="27" xfId="2" applyFont="1" applyBorder="1"/>
    <xf numFmtId="164" fontId="6" fillId="0" borderId="27" xfId="3" applyNumberFormat="1" applyFont="1" applyBorder="1"/>
    <xf numFmtId="164" fontId="2" fillId="0" borderId="29" xfId="1" applyNumberFormat="1" applyFont="1" applyBorder="1"/>
    <xf numFmtId="44" fontId="0" fillId="0" borderId="27" xfId="2" applyFont="1" applyBorder="1"/>
    <xf numFmtId="164" fontId="5" fillId="0" borderId="28" xfId="3" applyNumberFormat="1" applyFont="1" applyBorder="1"/>
    <xf numFmtId="44" fontId="35" fillId="0" borderId="2" xfId="2" applyFont="1" applyFill="1" applyBorder="1"/>
    <xf numFmtId="0" fontId="35" fillId="0" borderId="2" xfId="0" applyFont="1" applyBorder="1"/>
    <xf numFmtId="0" fontId="35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mao/Downloads/ASOR%20Net%20Investment%20Report%20FY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10"/>
      <sheetName val="May 2010"/>
      <sheetName val="April 2010"/>
      <sheetName val="March 2010"/>
      <sheetName val="February 2010"/>
      <sheetName val="January 2010"/>
      <sheetName val="December 2009"/>
      <sheetName val="November, 2009"/>
      <sheetName val="October 2009"/>
      <sheetName val="September 2009"/>
      <sheetName val="August 2009"/>
      <sheetName val="July 2009"/>
      <sheetName val="June 2009"/>
      <sheetName val="Citizens Savings Detail"/>
      <sheetName val="d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3">
          <cell r="K23">
            <v>90485.305989999993</v>
          </cell>
        </row>
        <row r="30">
          <cell r="K30">
            <v>48843.529900000001</v>
          </cell>
        </row>
        <row r="41">
          <cell r="K41">
            <v>91.395799999998303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"/>
  <sheetViews>
    <sheetView tabSelected="1" topLeftCell="A13" workbookViewId="0">
      <selection activeCell="C48" sqref="C48"/>
    </sheetView>
  </sheetViews>
  <sheetFormatPr baseColWidth="10" defaultColWidth="9.1640625" defaultRowHeight="16"/>
  <cols>
    <col min="1" max="1" width="2.5" style="1" customWidth="1"/>
    <col min="2" max="2" width="44" style="1" customWidth="1"/>
    <col min="3" max="3" width="17.1640625" style="3" customWidth="1"/>
    <col min="4" max="5" width="13.6640625" style="4" hidden="1" customWidth="1"/>
    <col min="6" max="6" width="14.1640625" style="5" hidden="1" customWidth="1"/>
    <col min="7" max="7" width="12.83203125" style="6" hidden="1" customWidth="1"/>
    <col min="8" max="9" width="14.1640625" style="7" hidden="1" customWidth="1"/>
    <col min="10" max="10" width="14.1640625" style="9" hidden="1" customWidth="1"/>
    <col min="11" max="11" width="13.6640625" style="9" customWidth="1"/>
    <col min="12" max="12" width="13.83203125" style="10" customWidth="1"/>
    <col min="13" max="13" width="13.6640625" style="10" customWidth="1"/>
    <col min="14" max="14" width="13.6640625" style="9" customWidth="1"/>
    <col min="15" max="15" width="14.1640625" style="9" bestFit="1" customWidth="1"/>
    <col min="16" max="16" width="14.5" style="12" customWidth="1"/>
    <col min="17" max="17" width="14.83203125" style="13" customWidth="1"/>
    <col min="18" max="18" width="12.33203125" style="4" customWidth="1"/>
    <col min="19" max="19" width="12.1640625" style="2" customWidth="1"/>
    <col min="20" max="20" width="14.83203125" style="14" customWidth="1"/>
    <col min="21" max="21" width="9.1640625" style="15"/>
    <col min="22" max="22" width="9.33203125" style="52" customWidth="1"/>
    <col min="23" max="23" width="14.5" style="1" customWidth="1"/>
    <col min="24" max="16384" width="9.1640625" style="1"/>
  </cols>
  <sheetData>
    <row r="1" spans="1:25">
      <c r="B1" s="2" t="s">
        <v>0</v>
      </c>
      <c r="I1" s="8"/>
      <c r="M1" s="11"/>
      <c r="R1" s="5"/>
      <c r="V1" s="16" t="s">
        <v>1</v>
      </c>
    </row>
    <row r="2" spans="1:25" s="13" customFormat="1" ht="17" thickBot="1">
      <c r="B2" s="17"/>
      <c r="C2" s="3"/>
      <c r="D2" s="4"/>
      <c r="E2" s="4"/>
      <c r="F2" s="5"/>
      <c r="G2" s="18" t="s">
        <v>2</v>
      </c>
      <c r="H2" s="19"/>
      <c r="I2" s="20"/>
      <c r="J2" s="21"/>
      <c r="K2" s="21"/>
      <c r="L2" s="22"/>
      <c r="M2" s="23"/>
      <c r="N2" s="21"/>
      <c r="O2" s="24"/>
      <c r="P2" s="25" t="s">
        <v>3</v>
      </c>
      <c r="R2" s="4"/>
      <c r="S2" s="2"/>
      <c r="T2" s="26" t="s">
        <v>4</v>
      </c>
      <c r="U2" s="27" t="s">
        <v>5</v>
      </c>
      <c r="V2" s="28" t="s">
        <v>6</v>
      </c>
    </row>
    <row r="3" spans="1:25" s="44" customFormat="1" ht="18" customHeight="1" thickTop="1" thickBot="1">
      <c r="A3" s="29" t="s">
        <v>7</v>
      </c>
      <c r="B3" s="30"/>
      <c r="C3" s="31" t="s">
        <v>8</v>
      </c>
      <c r="D3" s="32">
        <v>38898</v>
      </c>
      <c r="E3" s="32">
        <v>39263</v>
      </c>
      <c r="F3" s="33">
        <v>39629</v>
      </c>
      <c r="G3" s="34">
        <v>39994</v>
      </c>
      <c r="H3" s="33">
        <v>40359</v>
      </c>
      <c r="I3" s="33">
        <v>40724</v>
      </c>
      <c r="J3" s="33">
        <v>41090</v>
      </c>
      <c r="K3" s="33">
        <v>41455</v>
      </c>
      <c r="L3" s="34">
        <v>41820</v>
      </c>
      <c r="M3" s="35">
        <v>42185</v>
      </c>
      <c r="N3" s="33">
        <v>42551</v>
      </c>
      <c r="O3" s="33">
        <v>42916</v>
      </c>
      <c r="P3" s="36">
        <v>43190</v>
      </c>
      <c r="Q3" s="37" t="s">
        <v>9</v>
      </c>
      <c r="R3" s="38" t="s">
        <v>10</v>
      </c>
      <c r="S3" s="39" t="s">
        <v>11</v>
      </c>
      <c r="T3" s="40" t="s">
        <v>12</v>
      </c>
      <c r="U3" s="41" t="s">
        <v>13</v>
      </c>
      <c r="V3" s="42" t="s">
        <v>14</v>
      </c>
      <c r="W3" s="43" t="s">
        <v>15</v>
      </c>
    </row>
    <row r="4" spans="1:25" ht="18" thickTop="1" thickBot="1">
      <c r="D4" s="45" t="s">
        <v>16</v>
      </c>
      <c r="E4" s="45" t="s">
        <v>17</v>
      </c>
      <c r="F4" s="45" t="s">
        <v>18</v>
      </c>
      <c r="H4" s="8"/>
      <c r="I4" s="46" t="s">
        <v>19</v>
      </c>
      <c r="J4" s="46" t="s">
        <v>20</v>
      </c>
      <c r="K4" s="47"/>
      <c r="L4" s="48"/>
      <c r="M4" s="49"/>
      <c r="N4" s="47"/>
      <c r="O4" s="47"/>
      <c r="P4" s="50"/>
      <c r="U4" s="51"/>
    </row>
    <row r="5" spans="1:25" ht="17" thickBot="1">
      <c r="B5" s="1" t="s">
        <v>21</v>
      </c>
      <c r="C5" s="53" t="s">
        <v>22</v>
      </c>
      <c r="D5" s="4">
        <v>107880.5</v>
      </c>
      <c r="E5" s="4">
        <v>116616.72</v>
      </c>
      <c r="F5" s="8">
        <v>45698.42</v>
      </c>
      <c r="G5" s="54">
        <v>36391.980000000003</v>
      </c>
      <c r="H5" s="8">
        <v>42740.85</v>
      </c>
      <c r="I5" s="8">
        <v>53969.49</v>
      </c>
      <c r="J5" s="47">
        <v>57282.98</v>
      </c>
      <c r="K5" s="47">
        <v>63303.23</v>
      </c>
      <c r="L5" s="48">
        <v>69945.119999999995</v>
      </c>
      <c r="M5" s="49">
        <v>68736.680000000008</v>
      </c>
      <c r="N5" s="47">
        <v>12933.69</v>
      </c>
      <c r="O5" s="47">
        <v>13266.02</v>
      </c>
      <c r="P5" s="50">
        <f>171.72*75.358</f>
        <v>12940.475760000001</v>
      </c>
      <c r="Q5" s="2">
        <f>P5-O5</f>
        <v>-325.54423999999926</v>
      </c>
      <c r="R5" s="4">
        <v>0</v>
      </c>
      <c r="S5" s="2">
        <v>1714.85</v>
      </c>
      <c r="T5" s="55">
        <f>Q5-R5+S5</f>
        <v>1389.3057600000006</v>
      </c>
      <c r="U5" s="51">
        <f>T5/O5</f>
        <v>0.10472664446457948</v>
      </c>
      <c r="V5" s="56"/>
    </row>
    <row r="6" spans="1:25" s="57" customFormat="1">
      <c r="B6" s="57" t="s">
        <v>23</v>
      </c>
      <c r="C6" s="58" t="s">
        <v>24</v>
      </c>
      <c r="D6" s="59"/>
      <c r="E6" s="60"/>
      <c r="F6" s="61">
        <v>58745.98</v>
      </c>
      <c r="G6" s="62">
        <v>52201.17</v>
      </c>
      <c r="H6" s="8">
        <v>57541.57</v>
      </c>
      <c r="I6" s="8">
        <v>67335.990000000005</v>
      </c>
      <c r="J6" s="47">
        <v>62417.21</v>
      </c>
      <c r="K6" s="47">
        <v>72059.09</v>
      </c>
      <c r="L6" s="48">
        <v>81499.7</v>
      </c>
      <c r="M6" s="49">
        <v>85630.99</v>
      </c>
      <c r="N6" s="47">
        <v>116370.61</v>
      </c>
      <c r="O6" s="47">
        <v>125100.23</v>
      </c>
      <c r="P6" s="50">
        <v>130811.65</v>
      </c>
      <c r="Q6" s="2">
        <f>P6-O6</f>
        <v>5711.4199999999983</v>
      </c>
      <c r="R6" s="63">
        <f>1714.85</f>
        <v>1714.85</v>
      </c>
      <c r="S6" s="64">
        <f>3504+1746</f>
        <v>5250</v>
      </c>
      <c r="T6" s="63">
        <f>Q6-R6+S6</f>
        <v>9246.5699999999979</v>
      </c>
      <c r="U6" s="65">
        <f>T6/O6</f>
        <v>7.3913293364848309E-2</v>
      </c>
      <c r="V6" s="56"/>
      <c r="W6" s="13"/>
      <c r="X6" s="13"/>
      <c r="Y6" s="13"/>
    </row>
    <row r="7" spans="1:25" s="66" customFormat="1" ht="13">
      <c r="A7" s="66" t="s">
        <v>25</v>
      </c>
      <c r="B7" s="66" t="s">
        <v>26</v>
      </c>
      <c r="C7" s="67"/>
      <c r="D7" s="68"/>
      <c r="E7" s="14"/>
      <c r="F7" s="47">
        <f>SUM(F5:F6)</f>
        <v>104444.4</v>
      </c>
      <c r="G7" s="48">
        <f>SUM(G5:G6)</f>
        <v>88593.15</v>
      </c>
      <c r="H7" s="69">
        <f>SUM(H5:H6)</f>
        <v>100282.42</v>
      </c>
      <c r="I7" s="69">
        <f t="shared" ref="I7:T7" si="0">SUM(I5:I6)</f>
        <v>121305.48000000001</v>
      </c>
      <c r="J7" s="69">
        <f t="shared" si="0"/>
        <v>119700.19</v>
      </c>
      <c r="K7" s="69">
        <f t="shared" si="0"/>
        <v>135362.32</v>
      </c>
      <c r="L7" s="70">
        <f t="shared" si="0"/>
        <v>151444.82</v>
      </c>
      <c r="M7" s="71">
        <v>154367.67000000001</v>
      </c>
      <c r="N7" s="69">
        <f t="shared" si="0"/>
        <v>129304.3</v>
      </c>
      <c r="O7" s="69">
        <f t="shared" si="0"/>
        <v>138366.25</v>
      </c>
      <c r="P7" s="72">
        <f t="shared" si="0"/>
        <v>143752.12576</v>
      </c>
      <c r="Q7" s="73">
        <f t="shared" si="0"/>
        <v>5385.875759999999</v>
      </c>
      <c r="R7" s="14">
        <f t="shared" si="0"/>
        <v>1714.85</v>
      </c>
      <c r="S7" s="74">
        <f t="shared" si="0"/>
        <v>6964.85</v>
      </c>
      <c r="T7" s="14">
        <f t="shared" si="0"/>
        <v>10635.875759999999</v>
      </c>
      <c r="U7" s="75">
        <f>T7/O7</f>
        <v>7.6867558093104346E-2</v>
      </c>
      <c r="V7" s="56">
        <v>8.3000000000000004E-2</v>
      </c>
      <c r="W7" s="76"/>
      <c r="X7" s="74"/>
      <c r="Y7" s="74"/>
    </row>
    <row r="8" spans="1:25" ht="17" thickBot="1">
      <c r="C8" s="77"/>
      <c r="G8" s="78"/>
      <c r="H8" s="79"/>
      <c r="I8" s="79"/>
      <c r="J8" s="80"/>
      <c r="K8" s="80"/>
      <c r="L8" s="81"/>
      <c r="M8" s="82"/>
      <c r="N8" s="80"/>
      <c r="O8" s="80"/>
      <c r="P8" s="83"/>
      <c r="U8" s="51"/>
      <c r="V8" s="56"/>
      <c r="W8" s="84"/>
      <c r="X8" s="13"/>
      <c r="Y8" s="13"/>
    </row>
    <row r="9" spans="1:25" ht="17" thickBot="1">
      <c r="B9" s="1" t="s">
        <v>27</v>
      </c>
      <c r="C9" s="53" t="s">
        <v>28</v>
      </c>
      <c r="D9" s="3">
        <v>243337.69</v>
      </c>
      <c r="E9" s="4">
        <v>266196.65000000002</v>
      </c>
      <c r="F9" s="8">
        <v>105632.42</v>
      </c>
      <c r="G9" s="54">
        <v>84120.47</v>
      </c>
      <c r="H9" s="8">
        <v>98803.3</v>
      </c>
      <c r="I9" s="8">
        <v>114360.62</v>
      </c>
      <c r="J9" s="47">
        <v>109682.74</v>
      </c>
      <c r="K9" s="47">
        <v>121628.86</v>
      </c>
      <c r="L9" s="48">
        <v>131126.49</v>
      </c>
      <c r="M9" s="49">
        <v>128325.54</v>
      </c>
      <c r="N9" s="47">
        <v>24453.33</v>
      </c>
      <c r="O9" s="47">
        <v>25081.65</v>
      </c>
      <c r="P9" s="85">
        <f>142.477*171.72</f>
        <v>24466.150440000001</v>
      </c>
      <c r="Q9" s="2">
        <f>P9-O9</f>
        <v>-615.4995600000002</v>
      </c>
      <c r="R9" s="4">
        <v>0</v>
      </c>
      <c r="S9" s="2">
        <v>3242.22</v>
      </c>
      <c r="T9" s="55">
        <f>Q9-R9+S9</f>
        <v>2626.7204399999996</v>
      </c>
      <c r="U9" s="51">
        <f>T9/O9</f>
        <v>0.10472677993672663</v>
      </c>
      <c r="V9" s="56"/>
      <c r="W9" s="84"/>
      <c r="X9" s="13"/>
      <c r="Y9" s="13"/>
    </row>
    <row r="10" spans="1:25" s="57" customFormat="1">
      <c r="B10" s="57" t="s">
        <v>29</v>
      </c>
      <c r="C10" s="58" t="s">
        <v>30</v>
      </c>
      <c r="D10" s="60"/>
      <c r="E10" s="60"/>
      <c r="F10" s="61">
        <v>133017.18</v>
      </c>
      <c r="G10" s="62">
        <v>106225.2</v>
      </c>
      <c r="H10" s="8">
        <v>106514.53</v>
      </c>
      <c r="I10" s="8">
        <v>126322.84</v>
      </c>
      <c r="J10" s="47">
        <v>121408.9</v>
      </c>
      <c r="K10" s="47">
        <v>135212.91</v>
      </c>
      <c r="L10" s="48">
        <v>153306.35999999999</v>
      </c>
      <c r="M10" s="49">
        <v>158702.09</v>
      </c>
      <c r="N10" s="47">
        <v>213884.3</v>
      </c>
      <c r="O10" s="47">
        <v>227167.51</v>
      </c>
      <c r="P10" s="50">
        <v>236527.27</v>
      </c>
      <c r="Q10" s="2">
        <f>P10-O10</f>
        <v>9359.7599999999802</v>
      </c>
      <c r="R10" s="63">
        <f>3242.22</f>
        <v>3242.22</v>
      </c>
      <c r="S10" s="64">
        <f>7763+3853</f>
        <v>11616</v>
      </c>
      <c r="T10" s="63">
        <f>Q10-R10+S10</f>
        <v>17733.539999999979</v>
      </c>
      <c r="U10" s="65">
        <f>T10/O10</f>
        <v>7.8063716065734839E-2</v>
      </c>
      <c r="V10" s="56"/>
      <c r="W10" s="84"/>
      <c r="X10" s="13"/>
      <c r="Y10" s="13"/>
    </row>
    <row r="11" spans="1:25" s="66" customFormat="1" ht="13">
      <c r="A11" s="66" t="s">
        <v>31</v>
      </c>
      <c r="B11" s="66" t="s">
        <v>32</v>
      </c>
      <c r="C11" s="67"/>
      <c r="D11" s="14"/>
      <c r="E11" s="14"/>
      <c r="F11" s="47">
        <f>SUM(F9:F10)</f>
        <v>238649.59999999998</v>
      </c>
      <c r="G11" s="48">
        <f>SUM(G9:G10)</f>
        <v>190345.66999999998</v>
      </c>
      <c r="H11" s="69">
        <f>SUM(H9:H10)</f>
        <v>205317.83000000002</v>
      </c>
      <c r="I11" s="69">
        <f t="shared" ref="I11:T11" si="1">SUM(I9:I10)</f>
        <v>240683.46</v>
      </c>
      <c r="J11" s="69">
        <f t="shared" si="1"/>
        <v>231091.64</v>
      </c>
      <c r="K11" s="69">
        <f t="shared" si="1"/>
        <v>256841.77000000002</v>
      </c>
      <c r="L11" s="70">
        <f t="shared" si="1"/>
        <v>284432.84999999998</v>
      </c>
      <c r="M11" s="71">
        <v>287027.63</v>
      </c>
      <c r="N11" s="69">
        <f t="shared" si="1"/>
        <v>238337.63</v>
      </c>
      <c r="O11" s="69">
        <f t="shared" si="1"/>
        <v>252249.16</v>
      </c>
      <c r="P11" s="72">
        <f t="shared" si="1"/>
        <v>260993.42043999999</v>
      </c>
      <c r="Q11" s="73">
        <f t="shared" si="1"/>
        <v>8744.26043999998</v>
      </c>
      <c r="R11" s="14">
        <f>SUM(R9:R10)</f>
        <v>3242.22</v>
      </c>
      <c r="S11" s="74">
        <f t="shared" si="1"/>
        <v>14858.22</v>
      </c>
      <c r="T11" s="14">
        <f t="shared" si="1"/>
        <v>20360.26043999998</v>
      </c>
      <c r="U11" s="75">
        <f>T11/O11</f>
        <v>8.0714879050538674E-2</v>
      </c>
      <c r="V11" s="56">
        <v>8.3000000000000004E-2</v>
      </c>
    </row>
    <row r="12" spans="1:25">
      <c r="C12" s="77"/>
      <c r="D12" s="86"/>
      <c r="E12" s="87"/>
      <c r="F12" s="19"/>
      <c r="G12" s="88"/>
      <c r="H12" s="89"/>
      <c r="I12" s="89"/>
      <c r="J12" s="90"/>
      <c r="K12" s="90"/>
      <c r="L12" s="91"/>
      <c r="M12" s="92"/>
      <c r="N12" s="90"/>
      <c r="O12" s="90"/>
      <c r="P12" s="93"/>
      <c r="Q12" s="94"/>
      <c r="R12" s="87"/>
      <c r="S12" s="95"/>
      <c r="U12" s="51"/>
      <c r="V12" s="56"/>
    </row>
    <row r="13" spans="1:25" s="66" customFormat="1" ht="13">
      <c r="A13" s="66" t="s">
        <v>33</v>
      </c>
      <c r="B13" s="66" t="s">
        <v>34</v>
      </c>
      <c r="C13" s="96"/>
      <c r="D13" s="14">
        <v>34391.75</v>
      </c>
      <c r="E13" s="14">
        <v>41426.980000000003</v>
      </c>
      <c r="F13" s="47">
        <v>41639.03</v>
      </c>
      <c r="G13" s="48">
        <v>32783.910000000003</v>
      </c>
      <c r="H13" s="47">
        <v>38484.42</v>
      </c>
      <c r="I13" s="47">
        <v>53855.74</v>
      </c>
      <c r="J13" s="47">
        <v>55184.06</v>
      </c>
      <c r="K13" s="47">
        <v>64339.68</v>
      </c>
      <c r="L13" s="48">
        <v>83230.039999999994</v>
      </c>
      <c r="M13" s="49">
        <v>81631.039999999994</v>
      </c>
      <c r="N13" s="47">
        <v>77096.95</v>
      </c>
      <c r="O13" s="47">
        <v>83717.37</v>
      </c>
      <c r="P13" s="50">
        <v>87164.62</v>
      </c>
      <c r="Q13" s="2">
        <f>P13-O13</f>
        <v>3447.25</v>
      </c>
      <c r="R13" s="14"/>
      <c r="S13" s="74">
        <f>2010+1015</f>
        <v>3025</v>
      </c>
      <c r="T13" s="14">
        <f>Q13-R13+S13</f>
        <v>6472.25</v>
      </c>
      <c r="U13" s="75">
        <f>T13/O13</f>
        <v>7.7310718193846759E-2</v>
      </c>
      <c r="V13" s="56">
        <v>8.3000000000000004E-2</v>
      </c>
    </row>
    <row r="14" spans="1:25" s="66" customFormat="1" ht="13">
      <c r="C14" s="96"/>
      <c r="D14" s="14"/>
      <c r="E14" s="14"/>
      <c r="F14" s="47"/>
      <c r="G14" s="48"/>
      <c r="H14" s="47"/>
      <c r="I14" s="47"/>
      <c r="J14" s="47"/>
      <c r="K14" s="47"/>
      <c r="L14" s="48"/>
      <c r="M14" s="49"/>
      <c r="N14" s="47"/>
      <c r="O14" s="47"/>
      <c r="P14" s="50"/>
      <c r="Q14" s="2"/>
      <c r="R14" s="14"/>
      <c r="S14" s="74"/>
      <c r="T14" s="14"/>
      <c r="U14" s="75"/>
      <c r="V14" s="56"/>
    </row>
    <row r="15" spans="1:25" s="66" customFormat="1" ht="13">
      <c r="A15" s="66" t="s">
        <v>35</v>
      </c>
      <c r="B15" s="66" t="s">
        <v>36</v>
      </c>
      <c r="C15" s="96"/>
      <c r="D15" s="14"/>
      <c r="E15" s="14"/>
      <c r="F15" s="48"/>
      <c r="G15" s="47"/>
      <c r="H15" s="97"/>
      <c r="I15" s="47"/>
      <c r="J15" s="97"/>
      <c r="K15" s="47">
        <v>84532.19</v>
      </c>
      <c r="L15" s="48">
        <v>112470.84</v>
      </c>
      <c r="M15" s="49">
        <v>120636.46</v>
      </c>
      <c r="N15" s="47">
        <v>120506.62</v>
      </c>
      <c r="O15" s="47">
        <v>143055.23000000001</v>
      </c>
      <c r="P15" s="50">
        <v>150401.4</v>
      </c>
      <c r="Q15" s="2">
        <f>P15-O15</f>
        <v>7346.1699999999837</v>
      </c>
      <c r="R15" s="14">
        <f>100+1000</f>
        <v>1100</v>
      </c>
      <c r="S15" s="74">
        <f>3146+1636</f>
        <v>4782</v>
      </c>
      <c r="T15" s="14">
        <f>Q15-R15+S15</f>
        <v>11028.169999999984</v>
      </c>
      <c r="U15" s="75">
        <f>T15/O15</f>
        <v>7.7090295824906105E-2</v>
      </c>
      <c r="V15" s="56">
        <v>8.3000000000000004E-2</v>
      </c>
    </row>
    <row r="16" spans="1:25" customFormat="1">
      <c r="G16" s="98"/>
      <c r="I16" s="98"/>
      <c r="K16" s="98"/>
      <c r="L16" s="99"/>
      <c r="M16" s="100"/>
      <c r="N16" s="101"/>
      <c r="O16" s="101"/>
      <c r="P16" s="102"/>
      <c r="Q16" s="103"/>
      <c r="S16" s="104"/>
      <c r="U16" s="105"/>
      <c r="V16" s="106"/>
    </row>
    <row r="17" spans="1:23" s="66" customFormat="1" ht="13">
      <c r="A17" s="66" t="s">
        <v>37</v>
      </c>
      <c r="B17" s="66" t="s">
        <v>38</v>
      </c>
      <c r="C17" s="96"/>
      <c r="D17" s="14"/>
      <c r="E17" s="14"/>
      <c r="F17" s="47"/>
      <c r="G17" s="48"/>
      <c r="H17" s="47"/>
      <c r="I17" s="47"/>
      <c r="J17" s="47"/>
      <c r="K17" s="47"/>
      <c r="L17" s="48">
        <v>30950.05</v>
      </c>
      <c r="M17" s="49">
        <v>51112.78</v>
      </c>
      <c r="N17" s="47">
        <v>59471.12</v>
      </c>
      <c r="O17" s="47">
        <v>86681.32</v>
      </c>
      <c r="P17" s="50">
        <v>111171.4</v>
      </c>
      <c r="Q17" s="2">
        <f>P17-O17</f>
        <v>24490.079999999987</v>
      </c>
      <c r="R17" s="14">
        <f>10000+6500+3839.99</f>
        <v>20339.989999999998</v>
      </c>
      <c r="S17" s="74">
        <f>1582+846</f>
        <v>2428</v>
      </c>
      <c r="T17" s="14">
        <f>Q17-R17+S17</f>
        <v>6578.0899999999892</v>
      </c>
      <c r="U17" s="75">
        <f>T17/O17</f>
        <v>7.5888207516913553E-2</v>
      </c>
      <c r="V17" s="56">
        <v>8.3000000000000004E-2</v>
      </c>
    </row>
    <row r="18" spans="1:23" s="66" customFormat="1" ht="13">
      <c r="C18" s="96"/>
      <c r="D18" s="14"/>
      <c r="E18" s="14"/>
      <c r="F18" s="47"/>
      <c r="G18" s="48"/>
      <c r="H18" s="47"/>
      <c r="I18" s="47"/>
      <c r="J18" s="47"/>
      <c r="K18" s="47"/>
      <c r="L18" s="48"/>
      <c r="M18" s="49"/>
      <c r="N18" s="47"/>
      <c r="O18" s="47"/>
      <c r="P18" s="50"/>
      <c r="Q18" s="2"/>
      <c r="R18" s="14"/>
      <c r="S18" s="74"/>
      <c r="T18" s="14"/>
      <c r="U18" s="75"/>
      <c r="V18" s="56"/>
    </row>
    <row r="19" spans="1:23" s="66" customFormat="1" ht="13">
      <c r="A19" s="66" t="s">
        <v>39</v>
      </c>
      <c r="B19" s="66" t="s">
        <v>40</v>
      </c>
      <c r="C19" s="96"/>
      <c r="D19" s="14"/>
      <c r="E19" s="14"/>
      <c r="F19" s="47"/>
      <c r="G19" s="48"/>
      <c r="H19" s="47"/>
      <c r="I19" s="47"/>
      <c r="J19" s="47"/>
      <c r="K19" s="47"/>
      <c r="L19" s="48">
        <v>7000</v>
      </c>
      <c r="M19" s="49">
        <v>56403.78</v>
      </c>
      <c r="N19" s="47">
        <v>65056.69</v>
      </c>
      <c r="O19" s="47">
        <v>143108.88</v>
      </c>
      <c r="P19" s="50">
        <v>159023.85</v>
      </c>
      <c r="Q19" s="2">
        <f>P19-O19</f>
        <v>15914.970000000001</v>
      </c>
      <c r="R19" s="14">
        <v>9000</v>
      </c>
      <c r="S19" s="74">
        <f>2149+1187</f>
        <v>3336</v>
      </c>
      <c r="T19" s="14">
        <f>Q19-R19+S19</f>
        <v>10250.970000000001</v>
      </c>
      <c r="U19" s="75">
        <f>T19/O19</f>
        <v>7.1630565482728961E-2</v>
      </c>
      <c r="V19" s="56">
        <v>8.3000000000000004E-2</v>
      </c>
      <c r="W19" s="107"/>
    </row>
    <row r="20" spans="1:23" s="66" customFormat="1" ht="13">
      <c r="C20" s="96"/>
      <c r="D20" s="14"/>
      <c r="E20" s="14"/>
      <c r="F20" s="47"/>
      <c r="G20" s="48"/>
      <c r="H20" s="47"/>
      <c r="I20" s="47"/>
      <c r="J20" s="47"/>
      <c r="K20" s="47"/>
      <c r="L20" s="48"/>
      <c r="M20" s="49"/>
      <c r="N20" s="47"/>
      <c r="O20" s="47"/>
      <c r="P20" s="50"/>
      <c r="Q20" s="2"/>
      <c r="R20" s="14"/>
      <c r="S20" s="74"/>
      <c r="T20" s="14"/>
      <c r="U20" s="75"/>
      <c r="V20" s="56"/>
    </row>
    <row r="21" spans="1:23" s="66" customFormat="1" ht="13">
      <c r="A21" s="66" t="s">
        <v>41</v>
      </c>
      <c r="B21" s="66" t="s">
        <v>42</v>
      </c>
      <c r="C21" s="96"/>
      <c r="D21" s="14"/>
      <c r="E21" s="14"/>
      <c r="F21" s="47"/>
      <c r="G21" s="48"/>
      <c r="H21" s="47"/>
      <c r="I21" s="47"/>
      <c r="J21" s="47"/>
      <c r="K21" s="47"/>
      <c r="L21" s="48"/>
      <c r="M21" s="49"/>
      <c r="N21" s="47">
        <v>44696.14</v>
      </c>
      <c r="O21" s="47">
        <v>55686.07</v>
      </c>
      <c r="P21" s="50">
        <v>62789.5</v>
      </c>
      <c r="Q21" s="2">
        <f>P21-O21</f>
        <v>7103.43</v>
      </c>
      <c r="R21" s="14">
        <f>5000</f>
        <v>5000</v>
      </c>
      <c r="S21" s="74">
        <f>1353+691</f>
        <v>2044</v>
      </c>
      <c r="T21" s="14">
        <f>Q21-R21+S21</f>
        <v>4147.43</v>
      </c>
      <c r="U21" s="75">
        <f>T21/O21</f>
        <v>7.447877000477858E-2</v>
      </c>
      <c r="V21" s="56">
        <v>8.3000000000000004E-2</v>
      </c>
      <c r="W21" s="108"/>
    </row>
    <row r="22" spans="1:23">
      <c r="D22" s="86"/>
      <c r="E22" s="86"/>
      <c r="F22" s="109"/>
      <c r="G22" s="110"/>
      <c r="H22" s="111"/>
      <c r="I22" s="111"/>
      <c r="J22" s="112"/>
      <c r="K22" s="112"/>
      <c r="L22" s="113"/>
      <c r="M22" s="114"/>
      <c r="N22" s="112"/>
      <c r="O22" s="112"/>
      <c r="P22" s="115"/>
      <c r="Q22" s="116"/>
      <c r="R22" s="86"/>
      <c r="S22" s="117"/>
      <c r="U22" s="51"/>
      <c r="V22" s="56"/>
    </row>
    <row r="23" spans="1:23" s="118" customFormat="1" ht="15" thickBot="1">
      <c r="B23" s="119" t="s">
        <v>43</v>
      </c>
      <c r="C23" s="120"/>
      <c r="D23" s="121">
        <f>SUM(D5:D22)</f>
        <v>385609.94</v>
      </c>
      <c r="E23" s="121">
        <f>SUM(E5:E13)</f>
        <v>424240.35</v>
      </c>
      <c r="F23" s="122">
        <f>F7+F11+F13</f>
        <v>384733.03</v>
      </c>
      <c r="G23" s="123">
        <f>G7+G11+G13</f>
        <v>311722.73</v>
      </c>
      <c r="H23" s="122">
        <f>H7+H11+H13</f>
        <v>344084.67</v>
      </c>
      <c r="I23" s="122">
        <f>I7+I11+I13</f>
        <v>415844.68</v>
      </c>
      <c r="J23" s="122">
        <f>J7+J11+J13</f>
        <v>405975.89</v>
      </c>
      <c r="K23" s="122">
        <f>K7+K11+K13+K15</f>
        <v>541075.96</v>
      </c>
      <c r="L23" s="123">
        <f>L7+L11+L13+L15+L17+L19</f>
        <v>669528.6</v>
      </c>
      <c r="M23" s="124">
        <v>751179.36</v>
      </c>
      <c r="N23" s="122">
        <f>N7+N11+N13+N15+N17+N19+N21</f>
        <v>734469.45000000007</v>
      </c>
      <c r="O23" s="122">
        <f>O7+O11+O13+O15+O17+O19+O21</f>
        <v>902864.28</v>
      </c>
      <c r="P23" s="125">
        <f>P21+P19+P17+P15+P13+P11+P7</f>
        <v>975296.3162</v>
      </c>
      <c r="Q23" s="118">
        <f>Q7+Q11+Q13+Q15+Q17+Q19+Q21</f>
        <v>72432.036199999944</v>
      </c>
      <c r="R23" s="121">
        <f>+R13+R11+R7+R15+R17+R19+R21</f>
        <v>40397.06</v>
      </c>
      <c r="S23" s="118">
        <f>S13+S11+S7+S15+S17+S19+S21</f>
        <v>37438.07</v>
      </c>
      <c r="T23" s="121">
        <f>T13+T11+T7+T15+T17+T19+T21</f>
        <v>69473.046199999953</v>
      </c>
      <c r="U23" s="126">
        <f>T23/O23</f>
        <v>7.6947385934904799E-2</v>
      </c>
      <c r="V23" s="127">
        <v>8.3000000000000004E-2</v>
      </c>
      <c r="W23" s="128"/>
    </row>
    <row r="24" spans="1:23" s="74" customFormat="1" thickTop="1" thickBot="1">
      <c r="A24" s="129" t="s">
        <v>44</v>
      </c>
      <c r="B24" s="130"/>
      <c r="C24" s="96"/>
      <c r="D24" s="14"/>
      <c r="E24" s="14"/>
      <c r="F24" s="47"/>
      <c r="G24" s="131"/>
      <c r="H24" s="80"/>
      <c r="I24" s="80"/>
      <c r="J24" s="80"/>
      <c r="K24" s="80"/>
      <c r="L24" s="81"/>
      <c r="M24" s="82"/>
      <c r="N24" s="132"/>
      <c r="O24" s="132"/>
      <c r="P24" s="133"/>
      <c r="R24" s="14"/>
      <c r="T24" s="14"/>
      <c r="U24" s="134"/>
      <c r="V24" s="16"/>
    </row>
    <row r="25" spans="1:23" ht="17" thickTop="1">
      <c r="G25" s="78"/>
      <c r="H25" s="79"/>
      <c r="I25" s="79"/>
      <c r="J25" s="80"/>
      <c r="K25" s="80"/>
      <c r="L25" s="81"/>
      <c r="M25" s="82"/>
      <c r="N25" s="132"/>
      <c r="O25" s="132"/>
      <c r="P25" s="133"/>
      <c r="U25" s="51"/>
      <c r="V25" s="135"/>
      <c r="W25" s="136"/>
    </row>
    <row r="26" spans="1:23" ht="17" thickBot="1">
      <c r="A26" s="1" t="s">
        <v>45</v>
      </c>
      <c r="B26" s="1" t="s">
        <v>46</v>
      </c>
      <c r="D26" s="4">
        <v>210866.85</v>
      </c>
      <c r="E26" s="4">
        <v>240440.03</v>
      </c>
      <c r="F26" s="5">
        <v>285062.96999999997</v>
      </c>
      <c r="G26" s="54">
        <v>236825.72</v>
      </c>
      <c r="H26" s="8">
        <v>254060.28</v>
      </c>
      <c r="I26" s="8">
        <v>321615.39</v>
      </c>
      <c r="J26" s="47">
        <v>307079.49</v>
      </c>
      <c r="K26" s="47">
        <v>360796.66</v>
      </c>
      <c r="L26" s="48">
        <v>461561.33</v>
      </c>
      <c r="M26" s="49">
        <v>454092.35</v>
      </c>
      <c r="N26" s="47">
        <v>630470.36</v>
      </c>
      <c r="O26" s="47">
        <v>704200.73</v>
      </c>
      <c r="P26" s="50">
        <v>748933.66</v>
      </c>
      <c r="Q26" s="2">
        <f>P26-O26</f>
        <v>44732.930000000051</v>
      </c>
      <c r="R26" s="55">
        <v>7654.7</v>
      </c>
      <c r="S26" s="2">
        <f>12209+6266</f>
        <v>18475</v>
      </c>
      <c r="T26" s="55">
        <f>Q26-R26+S26</f>
        <v>55553.230000000054</v>
      </c>
      <c r="U26" s="51">
        <f>T26/O26</f>
        <v>7.8888344804754831E-2</v>
      </c>
      <c r="V26" s="135"/>
      <c r="W26" s="136"/>
    </row>
    <row r="27" spans="1:23" ht="17" thickBot="1">
      <c r="B27" s="137" t="s">
        <v>47</v>
      </c>
      <c r="C27" s="53" t="s">
        <v>48</v>
      </c>
      <c r="D27" s="3">
        <v>118222.79</v>
      </c>
      <c r="E27" s="4">
        <v>134602.43</v>
      </c>
      <c r="F27" s="8">
        <v>105709.66</v>
      </c>
      <c r="G27" s="54">
        <v>84181.98</v>
      </c>
      <c r="H27" s="8">
        <v>98875.520000000004</v>
      </c>
      <c r="I27" s="8">
        <v>124824.83</v>
      </c>
      <c r="J27" s="47">
        <v>132488.53</v>
      </c>
      <c r="K27" s="47">
        <v>166905.96</v>
      </c>
      <c r="L27" s="48">
        <v>192396.83</v>
      </c>
      <c r="M27" s="49">
        <v>221036.22</v>
      </c>
      <c r="N27" s="47">
        <v>52076.32</v>
      </c>
      <c r="O27" s="47">
        <v>53414.41</v>
      </c>
      <c r="P27" s="50">
        <f>171.72*303.422</f>
        <v>52103.625840000001</v>
      </c>
      <c r="Q27" s="2">
        <f>P27-O27</f>
        <v>-1310.7841600000029</v>
      </c>
      <c r="R27" s="4">
        <v>0</v>
      </c>
      <c r="S27" s="2">
        <v>6904.7</v>
      </c>
      <c r="T27" s="55">
        <f>Q27-R27+S27</f>
        <v>5593.9158399999969</v>
      </c>
      <c r="U27" s="51">
        <f>T27/O27</f>
        <v>0.10472671775275617</v>
      </c>
      <c r="V27" s="135"/>
      <c r="W27" s="136"/>
    </row>
    <row r="28" spans="1:23" s="138" customFormat="1" ht="14">
      <c r="B28" s="139" t="s">
        <v>49</v>
      </c>
      <c r="C28" s="96"/>
      <c r="D28" s="140">
        <f>SUM(D26:D27)</f>
        <v>329089.64</v>
      </c>
      <c r="E28" s="140">
        <f>SUM(E26:E27)</f>
        <v>375042.45999999996</v>
      </c>
      <c r="F28" s="69">
        <f>SUM(F26:F27)</f>
        <v>390772.63</v>
      </c>
      <c r="G28" s="70">
        <f>SUM(G26:G27)</f>
        <v>321007.7</v>
      </c>
      <c r="H28" s="69">
        <f>SUM(H26:H27)</f>
        <v>352935.8</v>
      </c>
      <c r="I28" s="69">
        <f t="shared" ref="I28:T28" si="2">SUM(I26:I27)</f>
        <v>446440.22000000003</v>
      </c>
      <c r="J28" s="69">
        <f t="shared" si="2"/>
        <v>439568.02</v>
      </c>
      <c r="K28" s="69">
        <f t="shared" si="2"/>
        <v>527702.62</v>
      </c>
      <c r="L28" s="70">
        <f t="shared" si="2"/>
        <v>653958.16</v>
      </c>
      <c r="M28" s="71">
        <v>675128.56999999983</v>
      </c>
      <c r="N28" s="69">
        <f t="shared" si="2"/>
        <v>682546.67999999993</v>
      </c>
      <c r="O28" s="69">
        <f t="shared" si="2"/>
        <v>757615.14</v>
      </c>
      <c r="P28" s="72">
        <f t="shared" si="2"/>
        <v>801037.28584000003</v>
      </c>
      <c r="Q28" s="138">
        <f t="shared" si="2"/>
        <v>43422.145840000048</v>
      </c>
      <c r="R28" s="140">
        <f t="shared" si="2"/>
        <v>7654.7</v>
      </c>
      <c r="S28" s="138">
        <f t="shared" si="2"/>
        <v>25379.7</v>
      </c>
      <c r="T28" s="140">
        <f t="shared" si="2"/>
        <v>61147.145840000048</v>
      </c>
      <c r="U28" s="141">
        <f>T28/O28</f>
        <v>8.0710036813678304E-2</v>
      </c>
      <c r="V28" s="142">
        <v>8.3000000000000004E-2</v>
      </c>
      <c r="W28" s="143"/>
    </row>
    <row r="29" spans="1:23" s="144" customFormat="1" ht="17" thickBot="1">
      <c r="B29" s="145"/>
      <c r="C29" s="146"/>
      <c r="D29" s="147" t="s">
        <v>50</v>
      </c>
      <c r="E29" s="147" t="s">
        <v>51</v>
      </c>
      <c r="F29" s="147" t="s">
        <v>52</v>
      </c>
      <c r="G29" s="148"/>
      <c r="H29" s="149"/>
      <c r="I29" s="149"/>
      <c r="J29" s="150"/>
      <c r="K29" s="150"/>
      <c r="L29" s="151"/>
      <c r="M29" s="152"/>
      <c r="N29" s="153"/>
      <c r="O29" s="153"/>
      <c r="P29" s="154"/>
      <c r="R29" s="155"/>
      <c r="S29" s="156"/>
      <c r="T29" s="157"/>
      <c r="U29" s="158"/>
      <c r="V29" s="159"/>
      <c r="W29" s="156"/>
    </row>
    <row r="30" spans="1:23">
      <c r="D30" s="160"/>
      <c r="E30" s="86"/>
      <c r="F30" s="109"/>
      <c r="G30" s="110"/>
      <c r="H30" s="111"/>
      <c r="I30" s="111"/>
      <c r="J30" s="112"/>
      <c r="K30" s="112"/>
      <c r="L30" s="113"/>
      <c r="M30" s="114"/>
      <c r="N30" s="161"/>
      <c r="O30" s="161"/>
      <c r="P30" s="162"/>
      <c r="Q30" s="116"/>
      <c r="R30" s="86"/>
      <c r="S30" s="117"/>
      <c r="U30" s="51"/>
      <c r="V30" s="135"/>
      <c r="W30" s="136"/>
    </row>
    <row r="31" spans="1:23" s="66" customFormat="1" ht="13">
      <c r="B31" s="66" t="s">
        <v>53</v>
      </c>
      <c r="C31" s="96"/>
      <c r="D31" s="14">
        <v>86851.8</v>
      </c>
      <c r="E31" s="14">
        <v>105408.63</v>
      </c>
      <c r="F31" s="47">
        <v>101001.03</v>
      </c>
      <c r="G31" s="48">
        <v>83444.31</v>
      </c>
      <c r="H31" s="47">
        <v>90821.98</v>
      </c>
      <c r="I31" s="47">
        <v>110536.23</v>
      </c>
      <c r="J31" s="47">
        <v>85074.62</v>
      </c>
      <c r="K31" s="47">
        <v>87259.77</v>
      </c>
      <c r="L31" s="48">
        <v>100251.09</v>
      </c>
      <c r="M31" s="49">
        <v>98773.28</v>
      </c>
      <c r="N31" s="47">
        <v>103949.3</v>
      </c>
      <c r="O31" s="47">
        <v>115648.16</v>
      </c>
      <c r="P31" s="50">
        <v>121647.34</v>
      </c>
      <c r="Q31" s="2">
        <f>P31-O31</f>
        <v>5999.179999999993</v>
      </c>
      <c r="R31" s="55"/>
      <c r="S31" s="2"/>
      <c r="T31" s="14">
        <f>Q31-R31+S31</f>
        <v>5999.179999999993</v>
      </c>
      <c r="U31" s="75">
        <f>T31/O31</f>
        <v>5.187440941559289E-2</v>
      </c>
      <c r="V31" s="135"/>
    </row>
    <row r="32" spans="1:23" s="74" customFormat="1" ht="14" thickBot="1">
      <c r="C32" s="96"/>
      <c r="D32" s="14"/>
      <c r="E32" s="14"/>
      <c r="F32" s="47"/>
      <c r="G32" s="131"/>
      <c r="H32" s="80"/>
      <c r="I32" s="80"/>
      <c r="J32" s="80"/>
      <c r="K32" s="80"/>
      <c r="L32" s="81"/>
      <c r="M32" s="82"/>
      <c r="N32" s="80"/>
      <c r="O32" s="80"/>
      <c r="P32" s="83"/>
      <c r="R32" s="14"/>
      <c r="T32" s="14"/>
      <c r="U32" s="163"/>
      <c r="V32" s="16"/>
    </row>
    <row r="33" spans="1:23" s="164" customFormat="1" ht="15" thickBot="1">
      <c r="B33" s="164" t="s">
        <v>54</v>
      </c>
      <c r="C33" s="165"/>
      <c r="D33" s="166">
        <f>D23+D28+D31</f>
        <v>801551.38000000012</v>
      </c>
      <c r="E33" s="166">
        <f t="shared" ref="E33:L33" si="3">E28+E23+E31</f>
        <v>904691.44</v>
      </c>
      <c r="F33" s="167">
        <f t="shared" si="3"/>
        <v>876506.69000000006</v>
      </c>
      <c r="G33" s="168">
        <f t="shared" si="3"/>
        <v>716174.74</v>
      </c>
      <c r="H33" s="167">
        <f t="shared" si="3"/>
        <v>787842.45</v>
      </c>
      <c r="I33" s="167">
        <f t="shared" si="3"/>
        <v>972821.13</v>
      </c>
      <c r="J33" s="167">
        <f t="shared" si="3"/>
        <v>930618.53</v>
      </c>
      <c r="K33" s="167">
        <f t="shared" si="3"/>
        <v>1156038.3500000001</v>
      </c>
      <c r="L33" s="168">
        <f t="shared" si="3"/>
        <v>1423737.85</v>
      </c>
      <c r="M33" s="169">
        <v>1525081.21</v>
      </c>
      <c r="N33" s="167">
        <f>N28+N23+N31</f>
        <v>1520965.43</v>
      </c>
      <c r="O33" s="167">
        <f>O28+O23+O31</f>
        <v>1776127.5799999998</v>
      </c>
      <c r="P33" s="170">
        <f>P23+P28+P31</f>
        <v>1897980.9420400001</v>
      </c>
      <c r="Q33" s="165">
        <f>Q28+Q23+Q31</f>
        <v>121853.36203999998</v>
      </c>
      <c r="R33" s="166">
        <f>R28+R23+R31</f>
        <v>48051.759999999995</v>
      </c>
      <c r="S33" s="166">
        <f>S28+S23+S31</f>
        <v>62817.770000000004</v>
      </c>
      <c r="T33" s="166">
        <f>T28+T23+T31</f>
        <v>136619.37203999999</v>
      </c>
      <c r="U33" s="171">
        <f>T33/O33</f>
        <v>7.6919796515968752E-2</v>
      </c>
      <c r="V33" s="172">
        <v>8.3000000000000004E-2</v>
      </c>
      <c r="W33" s="173"/>
    </row>
    <row r="34" spans="1:23" s="74" customFormat="1" ht="13">
      <c r="C34" s="96"/>
      <c r="D34" s="86"/>
      <c r="E34" s="86"/>
      <c r="F34" s="109"/>
      <c r="G34" s="110"/>
      <c r="H34" s="111"/>
      <c r="I34" s="111"/>
      <c r="J34" s="112"/>
      <c r="K34" s="112"/>
      <c r="L34" s="174"/>
      <c r="M34" s="175"/>
      <c r="N34" s="161"/>
      <c r="O34" s="161"/>
      <c r="P34" s="162"/>
      <c r="Q34" s="116"/>
      <c r="R34" s="86"/>
      <c r="S34" s="117"/>
      <c r="T34" s="14"/>
      <c r="U34" s="134"/>
      <c r="V34" s="176"/>
    </row>
    <row r="35" spans="1:23" s="66" customFormat="1">
      <c r="A35" s="136" t="s">
        <v>45</v>
      </c>
      <c r="B35" s="66" t="s">
        <v>55</v>
      </c>
      <c r="C35" s="96"/>
      <c r="D35" s="55">
        <v>117910.89</v>
      </c>
      <c r="E35" s="55">
        <v>91639.16</v>
      </c>
      <c r="F35" s="8">
        <v>123812.99</v>
      </c>
      <c r="G35" s="54">
        <v>91871.18</v>
      </c>
      <c r="H35" s="8">
        <v>10762.49</v>
      </c>
      <c r="I35" s="8">
        <v>28376.69</v>
      </c>
      <c r="J35" s="47">
        <v>45453.34</v>
      </c>
      <c r="K35" s="47"/>
      <c r="L35" s="10"/>
      <c r="M35" s="11"/>
      <c r="N35" s="9"/>
      <c r="O35" s="9"/>
      <c r="P35" s="12"/>
      <c r="Q35" s="13"/>
      <c r="R35" s="55"/>
      <c r="S35" s="2"/>
      <c r="T35" s="55"/>
      <c r="U35" s="15"/>
      <c r="V35" s="176"/>
    </row>
    <row r="36" spans="1:23" s="66" customFormat="1">
      <c r="A36" s="136"/>
      <c r="B36" s="66" t="s">
        <v>56</v>
      </c>
      <c r="C36" s="96"/>
      <c r="D36" s="55"/>
      <c r="E36" s="55"/>
      <c r="F36" s="8"/>
      <c r="G36" s="54"/>
      <c r="H36" s="8">
        <f>'[1]Citizens Savings Detail'!K23</f>
        <v>90485.305989999993</v>
      </c>
      <c r="I36" s="8">
        <v>70730.28</v>
      </c>
      <c r="J36" s="47">
        <v>82548.06</v>
      </c>
      <c r="K36" s="47">
        <v>126012.17</v>
      </c>
      <c r="L36" s="48">
        <v>197864.99</v>
      </c>
      <c r="M36" s="49">
        <v>331123.19</v>
      </c>
      <c r="N36" s="47">
        <v>210484.81</v>
      </c>
      <c r="O36" s="47">
        <v>271313.53999999998</v>
      </c>
      <c r="P36" s="50">
        <v>0</v>
      </c>
      <c r="Q36" s="13"/>
      <c r="R36" s="55"/>
      <c r="S36" s="2"/>
      <c r="T36" s="55"/>
      <c r="U36" s="15"/>
      <c r="V36" s="176"/>
    </row>
    <row r="37" spans="1:23" s="66" customFormat="1">
      <c r="A37" s="136"/>
      <c r="B37" s="66" t="s">
        <v>57</v>
      </c>
      <c r="C37" s="96"/>
      <c r="D37" s="55"/>
      <c r="E37" s="55"/>
      <c r="F37" s="8"/>
      <c r="G37" s="54"/>
      <c r="H37" s="8"/>
      <c r="I37" s="8"/>
      <c r="J37" s="47"/>
      <c r="K37" s="47"/>
      <c r="L37" s="48"/>
      <c r="M37" s="49"/>
      <c r="N37" s="47"/>
      <c r="O37" s="47"/>
      <c r="P37" s="50">
        <v>376492.53</v>
      </c>
      <c r="Q37" s="13"/>
      <c r="R37" s="55"/>
      <c r="S37" s="2"/>
      <c r="T37" s="55"/>
      <c r="U37" s="15"/>
      <c r="V37" s="176"/>
      <c r="W37" s="66" t="s">
        <v>58</v>
      </c>
    </row>
    <row r="38" spans="1:23" s="66" customFormat="1" ht="13">
      <c r="A38" s="136"/>
      <c r="B38" s="66" t="s">
        <v>59</v>
      </c>
      <c r="C38" s="96"/>
      <c r="D38" s="55"/>
      <c r="E38" s="55"/>
      <c r="F38" s="8"/>
      <c r="G38" s="54"/>
      <c r="H38" s="69">
        <f>SUM(H35:H36)</f>
        <v>101247.79599</v>
      </c>
      <c r="I38" s="69">
        <f>SUM(I35:I36)</f>
        <v>99106.97</v>
      </c>
      <c r="J38" s="69">
        <f>SUM(J35:J36)</f>
        <v>128001.4</v>
      </c>
      <c r="K38" s="47"/>
      <c r="L38" s="48"/>
      <c r="M38" s="11"/>
      <c r="N38" s="47">
        <v>247314.16</v>
      </c>
      <c r="O38" s="47">
        <v>726.68</v>
      </c>
      <c r="P38" s="50">
        <v>11809.97</v>
      </c>
      <c r="Q38" s="2"/>
      <c r="R38" s="55"/>
      <c r="S38" s="2"/>
      <c r="T38" s="177"/>
      <c r="U38" s="15"/>
      <c r="V38" s="176"/>
      <c r="W38" s="66" t="s">
        <v>60</v>
      </c>
    </row>
    <row r="39" spans="1:23">
      <c r="C39" s="178"/>
      <c r="H39" s="8"/>
      <c r="I39" s="8"/>
      <c r="J39" s="47"/>
      <c r="K39" s="47"/>
      <c r="L39" s="48"/>
      <c r="M39" s="11"/>
      <c r="Q39" s="2"/>
      <c r="T39" s="179"/>
      <c r="V39" s="56"/>
    </row>
    <row r="40" spans="1:23" s="74" customFormat="1" ht="13">
      <c r="A40" s="2" t="s">
        <v>61</v>
      </c>
      <c r="B40" s="74" t="s">
        <v>62</v>
      </c>
      <c r="C40" s="96"/>
      <c r="D40" s="55">
        <v>40933.339999999997</v>
      </c>
      <c r="E40" s="55">
        <v>61951.12</v>
      </c>
      <c r="F40" s="8">
        <v>144794.25</v>
      </c>
      <c r="G40" s="54">
        <v>120979.05</v>
      </c>
      <c r="H40" s="8">
        <v>145828.93</v>
      </c>
      <c r="I40" s="8">
        <v>89226.67</v>
      </c>
      <c r="J40" s="47">
        <v>96849.38</v>
      </c>
      <c r="K40" s="47">
        <v>81802.570000000007</v>
      </c>
      <c r="L40" s="48">
        <v>115145</v>
      </c>
      <c r="M40" s="49">
        <v>129536.67</v>
      </c>
      <c r="N40" s="47">
        <v>89442.12</v>
      </c>
      <c r="O40" s="47">
        <v>155249.57999999999</v>
      </c>
      <c r="P40" s="50">
        <f>1159700.37-P37</f>
        <v>783207.84000000008</v>
      </c>
      <c r="Q40" s="2"/>
      <c r="R40" s="55"/>
      <c r="S40" s="2"/>
      <c r="T40" s="55"/>
      <c r="U40" s="15"/>
      <c r="V40" s="176"/>
      <c r="W40" s="74" t="s">
        <v>63</v>
      </c>
    </row>
    <row r="41" spans="1:23" s="74" customFormat="1" ht="13">
      <c r="A41" s="2"/>
      <c r="B41" s="74" t="s">
        <v>64</v>
      </c>
      <c r="C41" s="96"/>
      <c r="D41" s="55"/>
      <c r="E41" s="55"/>
      <c r="F41" s="8"/>
      <c r="G41" s="54"/>
      <c r="H41" s="8">
        <f>'[1]Citizens Savings Detail'!K30</f>
        <v>48843.529900000001</v>
      </c>
      <c r="I41" s="8">
        <v>233539.71</v>
      </c>
      <c r="J41" s="47">
        <v>298527.37</v>
      </c>
      <c r="K41" s="47">
        <v>411199.84</v>
      </c>
      <c r="L41" s="48">
        <v>353298.73</v>
      </c>
      <c r="M41" s="49">
        <v>427303.08</v>
      </c>
      <c r="N41" s="47">
        <v>481563.37</v>
      </c>
      <c r="O41" s="47">
        <v>441434.75</v>
      </c>
      <c r="P41" s="50">
        <v>0</v>
      </c>
      <c r="Q41" s="2"/>
      <c r="R41" s="55"/>
      <c r="S41" s="2"/>
      <c r="T41" s="55"/>
      <c r="U41" s="15"/>
      <c r="V41" s="176"/>
    </row>
    <row r="42" spans="1:23" s="13" customFormat="1">
      <c r="B42" s="74" t="s">
        <v>65</v>
      </c>
      <c r="C42" s="3"/>
      <c r="D42" s="55">
        <v>843</v>
      </c>
      <c r="E42" s="55">
        <v>1415</v>
      </c>
      <c r="F42" s="8">
        <v>914.55</v>
      </c>
      <c r="G42" s="54">
        <v>1443.8</v>
      </c>
      <c r="H42" s="8">
        <v>4214.42</v>
      </c>
      <c r="I42" s="8">
        <v>2764.07</v>
      </c>
      <c r="J42" s="47">
        <v>5562.67</v>
      </c>
      <c r="K42" s="47">
        <v>1368.86</v>
      </c>
      <c r="L42" s="48">
        <v>7050.34</v>
      </c>
      <c r="M42" s="180">
        <v>2535.34</v>
      </c>
      <c r="N42" s="181">
        <v>2657.03</v>
      </c>
      <c r="O42" s="181">
        <v>3678.71</v>
      </c>
      <c r="P42" s="182">
        <v>16259.75</v>
      </c>
      <c r="R42" s="55"/>
      <c r="S42" s="2"/>
      <c r="T42" s="55"/>
      <c r="U42" s="15"/>
      <c r="V42" s="56"/>
    </row>
    <row r="43" spans="1:23" s="74" customFormat="1" ht="13">
      <c r="A43" s="2"/>
      <c r="C43" s="96"/>
      <c r="D43" s="55"/>
      <c r="E43" s="55"/>
      <c r="F43" s="8"/>
      <c r="G43" s="54"/>
      <c r="H43" s="69">
        <f t="shared" ref="H43:N43" si="4">SUM(H40:H42)</f>
        <v>198886.8799</v>
      </c>
      <c r="I43" s="69">
        <f t="shared" si="4"/>
        <v>325530.45</v>
      </c>
      <c r="J43" s="69">
        <f t="shared" si="4"/>
        <v>400939.42</v>
      </c>
      <c r="K43" s="69">
        <f t="shared" si="4"/>
        <v>494371.27</v>
      </c>
      <c r="L43" s="70">
        <f t="shared" si="4"/>
        <v>475494.07</v>
      </c>
      <c r="M43" s="49">
        <v>559375.09</v>
      </c>
      <c r="N43" s="47">
        <f t="shared" si="4"/>
        <v>573662.52</v>
      </c>
      <c r="O43" s="47">
        <f>SUM(O40:O42)</f>
        <v>600363.03999999992</v>
      </c>
      <c r="P43" s="50">
        <f>SUM(P40:P42)</f>
        <v>799467.59000000008</v>
      </c>
      <c r="Q43" s="2"/>
      <c r="R43" s="55"/>
      <c r="S43" s="2"/>
      <c r="T43" s="177"/>
      <c r="U43" s="15"/>
      <c r="V43" s="176"/>
    </row>
    <row r="44" spans="1:23">
      <c r="H44" s="8"/>
      <c r="I44" s="8"/>
      <c r="J44" s="47"/>
      <c r="K44" s="47"/>
      <c r="M44" s="11"/>
      <c r="N44" s="47"/>
      <c r="O44" s="47"/>
      <c r="P44" s="50"/>
      <c r="T44" s="179"/>
      <c r="V44" s="56"/>
    </row>
    <row r="45" spans="1:23" s="13" customFormat="1">
      <c r="A45" s="13" t="s">
        <v>33</v>
      </c>
      <c r="B45" s="74" t="s">
        <v>66</v>
      </c>
      <c r="C45" s="3"/>
      <c r="D45" s="55">
        <v>131151.76999999999</v>
      </c>
      <c r="E45" s="55">
        <v>218206.27</v>
      </c>
      <c r="F45" s="8">
        <v>150414.25</v>
      </c>
      <c r="G45" s="54">
        <v>61021.96</v>
      </c>
      <c r="H45" s="8">
        <v>62.13</v>
      </c>
      <c r="I45" s="8"/>
      <c r="J45" s="9"/>
      <c r="K45" s="47"/>
      <c r="L45" s="10"/>
      <c r="M45" s="11"/>
      <c r="N45" s="47"/>
      <c r="O45" s="47"/>
      <c r="P45" s="50"/>
      <c r="R45" s="183"/>
      <c r="S45" s="2"/>
      <c r="T45" s="55"/>
      <c r="U45" s="15"/>
      <c r="V45" s="56"/>
    </row>
    <row r="46" spans="1:23" s="13" customFormat="1">
      <c r="B46" s="74" t="s">
        <v>67</v>
      </c>
      <c r="C46" s="3"/>
      <c r="D46" s="55"/>
      <c r="E46" s="55"/>
      <c r="F46" s="8"/>
      <c r="G46" s="54"/>
      <c r="H46" s="8">
        <f>'[1]Citizens Savings Detail'!K41</f>
        <v>91.395799999998303</v>
      </c>
      <c r="I46" s="8"/>
      <c r="J46" s="9"/>
      <c r="K46" s="47"/>
      <c r="L46" s="10"/>
      <c r="M46" s="11"/>
      <c r="N46" s="47"/>
      <c r="O46" s="47"/>
      <c r="P46" s="50"/>
      <c r="R46" s="55"/>
      <c r="S46" s="2"/>
      <c r="T46" s="55"/>
      <c r="U46" s="15"/>
      <c r="V46" s="56"/>
    </row>
    <row r="47" spans="1:23" s="13" customFormat="1">
      <c r="B47" s="74"/>
      <c r="C47" s="3"/>
      <c r="D47" s="55"/>
      <c r="E47" s="55"/>
      <c r="F47" s="8"/>
      <c r="G47" s="54"/>
      <c r="H47" s="69">
        <f>SUM(H45:H46)</f>
        <v>153.5257999999983</v>
      </c>
      <c r="I47" s="69">
        <f>SUM(I45:I46)</f>
        <v>0</v>
      </c>
      <c r="J47" s="9"/>
      <c r="K47" s="47"/>
      <c r="L47" s="10"/>
      <c r="M47" s="11"/>
      <c r="N47" s="47"/>
      <c r="O47" s="47"/>
      <c r="P47" s="50"/>
      <c r="Q47" s="2"/>
      <c r="R47" s="55"/>
      <c r="S47" s="2"/>
      <c r="T47" s="177"/>
      <c r="U47" s="15"/>
      <c r="V47" s="56"/>
    </row>
    <row r="48" spans="1:23" s="13" customFormat="1">
      <c r="B48" s="74"/>
      <c r="C48" s="3"/>
      <c r="D48" s="55"/>
      <c r="E48" s="55"/>
      <c r="F48" s="8"/>
      <c r="G48" s="6"/>
      <c r="H48" s="8"/>
      <c r="I48" s="8"/>
      <c r="J48" s="9"/>
      <c r="K48" s="47"/>
      <c r="L48" s="10"/>
      <c r="M48" s="11"/>
      <c r="N48" s="47"/>
      <c r="O48" s="47"/>
      <c r="P48" s="50"/>
      <c r="R48" s="55"/>
      <c r="S48" s="2"/>
      <c r="T48" s="55"/>
      <c r="U48" s="15"/>
      <c r="V48" s="56"/>
    </row>
    <row r="49" spans="2:23" ht="17" thickBot="1">
      <c r="H49" s="8"/>
      <c r="I49" s="8"/>
      <c r="K49" s="47"/>
      <c r="M49" s="11"/>
      <c r="N49" s="47"/>
      <c r="O49" s="47"/>
      <c r="P49" s="50"/>
      <c r="V49" s="56"/>
    </row>
    <row r="50" spans="2:23" s="164" customFormat="1" ht="17" thickBot="1">
      <c r="B50" s="184" t="s">
        <v>68</v>
      </c>
      <c r="C50" s="165"/>
      <c r="D50" s="166">
        <f>D40+D35+D33+D45+D42</f>
        <v>1092390.3800000001</v>
      </c>
      <c r="E50" s="166">
        <f>E35+E33+E45+E40+E42</f>
        <v>1277902.99</v>
      </c>
      <c r="F50" s="167">
        <f>F45+F40+F35+F33+F42</f>
        <v>1296442.7300000002</v>
      </c>
      <c r="G50" s="168">
        <f>G45+G40+G35+G33+G42</f>
        <v>991490.73</v>
      </c>
      <c r="H50" s="167">
        <f>H47+H43+H38+H33</f>
        <v>1088130.65169</v>
      </c>
      <c r="I50" s="167">
        <f>I43+I38+I33</f>
        <v>1397458.55</v>
      </c>
      <c r="J50" s="167">
        <f>J43+J38+J33</f>
        <v>1459559.35</v>
      </c>
      <c r="K50" s="167">
        <f>K43+K38+K33</f>
        <v>1650409.62</v>
      </c>
      <c r="L50" s="168">
        <f>L43+L36+L33</f>
        <v>2097096.9100000001</v>
      </c>
      <c r="M50" s="169">
        <v>2415579.4900000002</v>
      </c>
      <c r="N50" s="167">
        <f>N43+N36+N33</f>
        <v>2305112.7599999998</v>
      </c>
      <c r="O50" s="167">
        <f>O43+O36+O33</f>
        <v>2647804.1599999997</v>
      </c>
      <c r="P50" s="170">
        <f>P43+P36+P33</f>
        <v>2697448.53204</v>
      </c>
      <c r="Q50" s="165">
        <f>Q33</f>
        <v>121853.36203999998</v>
      </c>
      <c r="R50" s="166">
        <f>R35+R33+R45+R40</f>
        <v>48051.759999999995</v>
      </c>
      <c r="S50" s="166">
        <f>S35+S33+S45+S40</f>
        <v>62817.770000000004</v>
      </c>
      <c r="T50" s="166">
        <f>T45+T35+T33+T40</f>
        <v>136619.37203999999</v>
      </c>
      <c r="U50" s="185"/>
      <c r="V50" s="186"/>
    </row>
    <row r="51" spans="2:23" s="139" customFormat="1">
      <c r="B51" s="187"/>
      <c r="C51" s="188"/>
      <c r="D51" s="189"/>
      <c r="E51" s="189"/>
      <c r="F51" s="190"/>
      <c r="G51" s="191"/>
      <c r="H51" s="192"/>
      <c r="I51" s="192"/>
      <c r="J51" s="192"/>
      <c r="K51" s="192"/>
      <c r="L51" s="193"/>
      <c r="M51" s="194"/>
      <c r="N51" s="192"/>
      <c r="O51" s="192"/>
      <c r="P51" s="195"/>
      <c r="R51" s="189"/>
      <c r="T51" s="189"/>
      <c r="U51" s="196"/>
      <c r="V51" s="176"/>
    </row>
    <row r="52" spans="2:23" s="139" customFormat="1">
      <c r="B52" s="74" t="s">
        <v>69</v>
      </c>
      <c r="C52" s="188"/>
      <c r="D52" s="55">
        <v>45204</v>
      </c>
      <c r="E52" s="55">
        <v>45754.73</v>
      </c>
      <c r="F52" s="8">
        <v>42449.05</v>
      </c>
      <c r="G52" s="54">
        <v>43383.17</v>
      </c>
      <c r="H52" s="8">
        <v>43404.97</v>
      </c>
      <c r="I52" s="8">
        <v>43409.24</v>
      </c>
      <c r="J52" s="8">
        <v>43413.41</v>
      </c>
      <c r="K52" s="8">
        <v>0.28000000000000003</v>
      </c>
      <c r="L52" s="54">
        <v>0.28000000000000003</v>
      </c>
      <c r="M52" s="197"/>
      <c r="N52" s="7"/>
      <c r="O52" s="7"/>
      <c r="P52" s="198"/>
      <c r="Q52" s="13"/>
      <c r="R52" s="189"/>
      <c r="T52" s="189"/>
      <c r="U52" s="196"/>
      <c r="V52" s="176"/>
    </row>
    <row r="53" spans="2:23">
      <c r="B53" s="66" t="s">
        <v>70</v>
      </c>
      <c r="D53" s="4">
        <v>8019</v>
      </c>
      <c r="E53" s="4">
        <v>3999</v>
      </c>
      <c r="F53" s="8">
        <v>6346.17</v>
      </c>
      <c r="G53" s="54">
        <v>4815.01</v>
      </c>
      <c r="H53" s="8">
        <v>4930.71</v>
      </c>
      <c r="I53" s="8">
        <v>4944.04</v>
      </c>
      <c r="J53" s="8">
        <v>4935.04</v>
      </c>
      <c r="K53" s="8">
        <v>46514.39</v>
      </c>
      <c r="L53" s="54">
        <v>46439.39</v>
      </c>
      <c r="M53" s="199">
        <v>46652.53</v>
      </c>
      <c r="N53" s="8">
        <v>0</v>
      </c>
      <c r="O53" s="8"/>
      <c r="P53" s="200"/>
      <c r="V53" s="56"/>
    </row>
    <row r="54" spans="2:23">
      <c r="B54" s="66"/>
      <c r="F54" s="8"/>
      <c r="K54" s="9" t="s">
        <v>71</v>
      </c>
      <c r="L54" s="48"/>
      <c r="M54" s="11"/>
      <c r="N54" s="47"/>
      <c r="O54" s="47"/>
      <c r="P54" s="50"/>
      <c r="V54" s="56"/>
    </row>
    <row r="55" spans="2:23">
      <c r="B55" s="66" t="s">
        <v>72</v>
      </c>
      <c r="D55" s="4">
        <v>36092</v>
      </c>
      <c r="E55" s="4">
        <v>36616</v>
      </c>
      <c r="F55" s="8">
        <v>34944.17</v>
      </c>
      <c r="G55" s="54">
        <v>32749.98</v>
      </c>
      <c r="H55" s="8">
        <v>32785.53</v>
      </c>
      <c r="I55" s="8">
        <v>32828.94</v>
      </c>
      <c r="J55" s="201">
        <v>30770.43</v>
      </c>
      <c r="K55" s="8">
        <v>28778.59</v>
      </c>
      <c r="L55" s="54">
        <v>0</v>
      </c>
      <c r="M55" s="197"/>
      <c r="N55" s="8"/>
      <c r="O55" s="8"/>
      <c r="P55" s="200"/>
      <c r="V55" s="56"/>
    </row>
    <row r="56" spans="2:23" ht="17" thickBot="1">
      <c r="B56" s="66"/>
      <c r="F56" s="8"/>
      <c r="G56" s="54"/>
      <c r="L56" s="48"/>
      <c r="M56" s="11"/>
      <c r="N56" s="47"/>
      <c r="O56" s="47"/>
      <c r="P56" s="50"/>
      <c r="V56" s="56"/>
    </row>
    <row r="57" spans="2:23" s="213" customFormat="1" ht="17" thickBot="1">
      <c r="B57" s="202" t="s">
        <v>73</v>
      </c>
      <c r="C57" s="203"/>
      <c r="D57" s="204">
        <f t="shared" ref="D57:I57" si="5">SUM(D52:D56)</f>
        <v>89315</v>
      </c>
      <c r="E57" s="204">
        <f t="shared" si="5"/>
        <v>86369.73000000001</v>
      </c>
      <c r="F57" s="205">
        <f t="shared" si="5"/>
        <v>83739.39</v>
      </c>
      <c r="G57" s="206">
        <f t="shared" si="5"/>
        <v>80948.160000000003</v>
      </c>
      <c r="H57" s="205">
        <f t="shared" si="5"/>
        <v>81121.209999999992</v>
      </c>
      <c r="I57" s="205">
        <f t="shared" si="5"/>
        <v>81182.22</v>
      </c>
      <c r="J57" s="205">
        <f>SUM(J52:J55)</f>
        <v>79118.880000000005</v>
      </c>
      <c r="K57" s="205">
        <f>SUM(K52:K55)</f>
        <v>75293.259999999995</v>
      </c>
      <c r="L57" s="206">
        <f>SUM(L52:L55)</f>
        <v>46439.67</v>
      </c>
      <c r="M57" s="207">
        <v>46652.53</v>
      </c>
      <c r="N57" s="205">
        <f>SUM(N52:N55)</f>
        <v>0</v>
      </c>
      <c r="O57" s="205"/>
      <c r="P57" s="208"/>
      <c r="Q57" s="202">
        <f>SUM(Q52:Q55)</f>
        <v>0</v>
      </c>
      <c r="R57" s="209"/>
      <c r="S57" s="210"/>
      <c r="T57" s="204"/>
      <c r="U57" s="211"/>
      <c r="V57" s="212"/>
    </row>
    <row r="58" spans="2:23" s="213" customFormat="1" ht="17" thickBot="1">
      <c r="B58" s="202" t="s">
        <v>74</v>
      </c>
      <c r="C58" s="203"/>
      <c r="D58" s="204">
        <v>445045</v>
      </c>
      <c r="E58" s="204">
        <v>521419.48</v>
      </c>
      <c r="F58" s="205">
        <v>438218.42</v>
      </c>
      <c r="G58" s="206">
        <v>323669.3</v>
      </c>
      <c r="H58" s="205">
        <v>348699.23</v>
      </c>
      <c r="I58" s="205">
        <v>424252.39</v>
      </c>
      <c r="J58" s="205">
        <v>398234.3</v>
      </c>
      <c r="K58" s="205">
        <v>440263.29</v>
      </c>
      <c r="L58" s="206">
        <v>506506.59</v>
      </c>
      <c r="M58" s="207">
        <v>497147.68</v>
      </c>
      <c r="N58" s="205">
        <v>462472.78</v>
      </c>
      <c r="O58" s="205">
        <v>502307.72</v>
      </c>
      <c r="P58" s="208">
        <v>536203.84</v>
      </c>
      <c r="Q58" s="202">
        <f>P58-O58</f>
        <v>33896.119999999995</v>
      </c>
      <c r="R58" s="204"/>
      <c r="S58" s="202"/>
      <c r="T58" s="204">
        <f>Q58-R58+S58</f>
        <v>33896.119999999995</v>
      </c>
      <c r="U58" s="214">
        <f>T58/O58</f>
        <v>6.7480786478854027E-2</v>
      </c>
      <c r="V58" s="212"/>
      <c r="W58" s="210" t="s">
        <v>75</v>
      </c>
    </row>
    <row r="59" spans="2:23">
      <c r="M59" s="11"/>
      <c r="V59" s="56"/>
    </row>
    <row r="60" spans="2:23">
      <c r="M60" s="11"/>
      <c r="V60" s="56"/>
    </row>
    <row r="61" spans="2:23">
      <c r="H61" s="215"/>
      <c r="I61" s="215"/>
      <c r="M61" s="11"/>
      <c r="V61" s="56"/>
    </row>
    <row r="62" spans="2:23">
      <c r="H62" s="216"/>
      <c r="I62" s="217"/>
      <c r="M62" s="11"/>
      <c r="V62" s="56"/>
    </row>
    <row r="63" spans="2:23">
      <c r="V63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2018-04-15T21:08:16Z</dcterms:created>
  <dcterms:modified xsi:type="dcterms:W3CDTF">2018-04-17T16:12:09Z</dcterms:modified>
</cp:coreProperties>
</file>